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10" windowWidth="24915" windowHeight="12015"/>
  </bookViews>
  <sheets>
    <sheet name="Option A" sheetId="2" r:id="rId1"/>
    <sheet name="Option B" sheetId="10" r:id="rId2"/>
    <sheet name="Option C" sheetId="11" r:id="rId3"/>
  </sheets>
  <definedNames>
    <definedName name="_xlnm.Print_Titles" localSheetId="0">'Option A'!$1:$2</definedName>
    <definedName name="_xlnm.Print_Titles" localSheetId="1">'Option B'!$1:$2</definedName>
    <definedName name="_xlnm.Print_Titles" localSheetId="2">'Option C'!$1:$2</definedName>
  </definedNames>
  <calcPr calcId="145621"/>
</workbook>
</file>

<file path=xl/calcChain.xml><?xml version="1.0" encoding="utf-8"?>
<calcChain xmlns="http://schemas.openxmlformats.org/spreadsheetml/2006/main">
  <c r="J18" i="11" l="1"/>
  <c r="J117" i="11" l="1"/>
  <c r="F117" i="11"/>
  <c r="E117" i="11"/>
  <c r="D117" i="11"/>
  <c r="C117" i="11"/>
  <c r="G116" i="11"/>
  <c r="H115" i="11"/>
  <c r="H117" i="11" s="1"/>
  <c r="G114" i="11"/>
  <c r="G113" i="11"/>
  <c r="G112" i="11"/>
  <c r="F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H92" i="11"/>
  <c r="E92" i="11"/>
  <c r="G92" i="11" s="1"/>
  <c r="G91" i="11"/>
  <c r="G90" i="11"/>
  <c r="G89" i="11"/>
  <c r="G88" i="11"/>
  <c r="H87" i="11"/>
  <c r="E87" i="11"/>
  <c r="G87" i="11" s="1"/>
  <c r="H86" i="11"/>
  <c r="E86" i="11"/>
  <c r="G86" i="11" s="1"/>
  <c r="H85" i="11"/>
  <c r="E85" i="11"/>
  <c r="G85" i="11" s="1"/>
  <c r="H84" i="11"/>
  <c r="E84" i="11"/>
  <c r="G84" i="11" s="1"/>
  <c r="H83" i="11"/>
  <c r="E83" i="11"/>
  <c r="G83" i="11" s="1"/>
  <c r="H82" i="11"/>
  <c r="H111" i="11" s="1"/>
  <c r="E82" i="11"/>
  <c r="G80" i="11"/>
  <c r="G79" i="11"/>
  <c r="G78" i="11"/>
  <c r="G77" i="11"/>
  <c r="D77" i="11"/>
  <c r="C77" i="11"/>
  <c r="G76" i="11"/>
  <c r="D76" i="11"/>
  <c r="C76" i="11"/>
  <c r="G75" i="11"/>
  <c r="D75" i="11"/>
  <c r="C75" i="11"/>
  <c r="J74" i="11"/>
  <c r="G74" i="11"/>
  <c r="J73" i="11"/>
  <c r="G73" i="11"/>
  <c r="J72" i="11"/>
  <c r="G72" i="11"/>
  <c r="G71" i="11"/>
  <c r="D71" i="11"/>
  <c r="C71" i="11"/>
  <c r="G70" i="11"/>
  <c r="D70" i="11"/>
  <c r="C70" i="11"/>
  <c r="G69" i="11"/>
  <c r="D69" i="11"/>
  <c r="C69" i="11"/>
  <c r="G68" i="11"/>
  <c r="D68" i="11"/>
  <c r="C68" i="11"/>
  <c r="G67" i="11"/>
  <c r="D67" i="11"/>
  <c r="C67" i="11"/>
  <c r="G66" i="11"/>
  <c r="D66" i="11"/>
  <c r="C66" i="11"/>
  <c r="G65" i="11"/>
  <c r="G64" i="11"/>
  <c r="G63" i="11"/>
  <c r="G62" i="11"/>
  <c r="D62" i="11"/>
  <c r="C62" i="11"/>
  <c r="G61" i="11"/>
  <c r="D61" i="11"/>
  <c r="C61" i="11"/>
  <c r="G60" i="11"/>
  <c r="D60" i="11"/>
  <c r="C60" i="11"/>
  <c r="G58" i="11"/>
  <c r="F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J37" i="11"/>
  <c r="J55" i="11" s="1"/>
  <c r="F37" i="11"/>
  <c r="G36" i="11"/>
  <c r="H35" i="11"/>
  <c r="E35" i="11"/>
  <c r="G35" i="11" s="1"/>
  <c r="D35" i="11"/>
  <c r="C35" i="11"/>
  <c r="H34" i="11"/>
  <c r="E34" i="11"/>
  <c r="G34" i="11" s="1"/>
  <c r="D34" i="11"/>
  <c r="C34" i="11"/>
  <c r="G33" i="11"/>
  <c r="G32" i="11"/>
  <c r="G31" i="11"/>
  <c r="G30" i="11"/>
  <c r="D30" i="11"/>
  <c r="D32" i="11" s="1"/>
  <c r="C30" i="11"/>
  <c r="C33" i="11" s="1"/>
  <c r="G29" i="11"/>
  <c r="H25" i="11"/>
  <c r="F25" i="11"/>
  <c r="E25" i="11"/>
  <c r="G23" i="11"/>
  <c r="G22" i="11"/>
  <c r="G21" i="11"/>
  <c r="G20" i="11"/>
  <c r="G19" i="11"/>
  <c r="J25" i="11"/>
  <c r="G18" i="11"/>
  <c r="G17" i="11"/>
  <c r="G16" i="11"/>
  <c r="G15" i="11"/>
  <c r="G14" i="11"/>
  <c r="G13" i="11"/>
  <c r="G12" i="11"/>
  <c r="D12" i="11"/>
  <c r="D25" i="11" s="1"/>
  <c r="C12" i="11"/>
  <c r="C25" i="11" s="1"/>
  <c r="G11" i="11"/>
  <c r="J8" i="11"/>
  <c r="H8" i="11"/>
  <c r="F8" i="11"/>
  <c r="E8" i="11"/>
  <c r="D8" i="11"/>
  <c r="C8" i="11"/>
  <c r="G7" i="11"/>
  <c r="G6" i="11"/>
  <c r="G5" i="11"/>
  <c r="G4" i="11"/>
  <c r="J117" i="10"/>
  <c r="H117" i="10"/>
  <c r="F117" i="10"/>
  <c r="E117" i="10"/>
  <c r="D117" i="10"/>
  <c r="C117" i="10"/>
  <c r="G116" i="10"/>
  <c r="H115" i="10"/>
  <c r="G114" i="10"/>
  <c r="G113" i="10"/>
  <c r="G112" i="10"/>
  <c r="G117" i="10" s="1"/>
  <c r="F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H92" i="10"/>
  <c r="E92" i="10"/>
  <c r="G92" i="10" s="1"/>
  <c r="G91" i="10"/>
  <c r="G90" i="10"/>
  <c r="G89" i="10"/>
  <c r="G88" i="10"/>
  <c r="H87" i="10"/>
  <c r="G87" i="10"/>
  <c r="E87" i="10"/>
  <c r="H86" i="10"/>
  <c r="E86" i="10"/>
  <c r="G86" i="10" s="1"/>
  <c r="H85" i="10"/>
  <c r="G85" i="10"/>
  <c r="E85" i="10"/>
  <c r="H84" i="10"/>
  <c r="H111" i="10" s="1"/>
  <c r="E84" i="10"/>
  <c r="G84" i="10" s="1"/>
  <c r="H83" i="10"/>
  <c r="G83" i="10"/>
  <c r="E83" i="10"/>
  <c r="H82" i="10"/>
  <c r="E82" i="10"/>
  <c r="E111" i="10" s="1"/>
  <c r="G80" i="10"/>
  <c r="G79" i="10"/>
  <c r="G78" i="10"/>
  <c r="G77" i="10"/>
  <c r="D77" i="10"/>
  <c r="C77" i="10"/>
  <c r="G76" i="10"/>
  <c r="D76" i="10"/>
  <c r="C76" i="10"/>
  <c r="G75" i="10"/>
  <c r="D75" i="10"/>
  <c r="C75" i="10"/>
  <c r="J74" i="10"/>
  <c r="G74" i="10"/>
  <c r="J73" i="10"/>
  <c r="G73" i="10"/>
  <c r="J72" i="10"/>
  <c r="J111" i="10" s="1"/>
  <c r="G72" i="10"/>
  <c r="G71" i="10"/>
  <c r="D71" i="10"/>
  <c r="C71" i="10"/>
  <c r="G70" i="10"/>
  <c r="D70" i="10"/>
  <c r="C70" i="10"/>
  <c r="G69" i="10"/>
  <c r="D69" i="10"/>
  <c r="C69" i="10"/>
  <c r="G68" i="10"/>
  <c r="D68" i="10"/>
  <c r="C68" i="10"/>
  <c r="G67" i="10"/>
  <c r="D67" i="10"/>
  <c r="C67" i="10"/>
  <c r="G66" i="10"/>
  <c r="D66" i="10"/>
  <c r="C66" i="10"/>
  <c r="G65" i="10"/>
  <c r="G64" i="10"/>
  <c r="G63" i="10"/>
  <c r="G62" i="10"/>
  <c r="D62" i="10"/>
  <c r="C62" i="10"/>
  <c r="G61" i="10"/>
  <c r="D61" i="10"/>
  <c r="D111" i="10" s="1"/>
  <c r="C61" i="10"/>
  <c r="G60" i="10"/>
  <c r="D60" i="10"/>
  <c r="C60" i="10"/>
  <c r="C111" i="10" s="1"/>
  <c r="G58" i="10"/>
  <c r="F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J37" i="10"/>
  <c r="J55" i="10" s="1"/>
  <c r="J118" i="10" s="1"/>
  <c r="J123" i="10" s="1"/>
  <c r="F37" i="10"/>
  <c r="F118" i="10" s="1"/>
  <c r="G36" i="10"/>
  <c r="H35" i="10"/>
  <c r="G35" i="10"/>
  <c r="E35" i="10"/>
  <c r="D35" i="10"/>
  <c r="C35" i="10"/>
  <c r="H34" i="10"/>
  <c r="H37" i="10" s="1"/>
  <c r="H55" i="10" s="1"/>
  <c r="H118" i="10" s="1"/>
  <c r="E34" i="10"/>
  <c r="E37" i="10" s="1"/>
  <c r="E55" i="10" s="1"/>
  <c r="E118" i="10" s="1"/>
  <c r="E123" i="10" s="1"/>
  <c r="D34" i="10"/>
  <c r="C34" i="10"/>
  <c r="G33" i="10"/>
  <c r="D33" i="10"/>
  <c r="G32" i="10"/>
  <c r="G31" i="10"/>
  <c r="G30" i="10"/>
  <c r="D30" i="10"/>
  <c r="D32" i="10" s="1"/>
  <c r="D37" i="10" s="1"/>
  <c r="D55" i="10" s="1"/>
  <c r="D118" i="10" s="1"/>
  <c r="C30" i="10"/>
  <c r="C33" i="10" s="1"/>
  <c r="G29" i="10"/>
  <c r="E26" i="10"/>
  <c r="H25" i="10"/>
  <c r="F25" i="10"/>
  <c r="E25" i="10"/>
  <c r="D25" i="10"/>
  <c r="G23" i="10"/>
  <c r="G22" i="10"/>
  <c r="G21" i="10"/>
  <c r="G20" i="10"/>
  <c r="G19" i="10"/>
  <c r="J25" i="10"/>
  <c r="G18" i="10"/>
  <c r="G17" i="10"/>
  <c r="G16" i="10"/>
  <c r="G15" i="10"/>
  <c r="G14" i="10"/>
  <c r="G13" i="10"/>
  <c r="G12" i="10"/>
  <c r="D12" i="10"/>
  <c r="C12" i="10"/>
  <c r="C25" i="10" s="1"/>
  <c r="G11" i="10"/>
  <c r="G25" i="10" s="1"/>
  <c r="J8" i="10"/>
  <c r="H8" i="10"/>
  <c r="H26" i="10" s="1"/>
  <c r="H27" i="10" s="1"/>
  <c r="F8" i="10"/>
  <c r="F26" i="10" s="1"/>
  <c r="E8" i="10"/>
  <c r="D8" i="10"/>
  <c r="D26" i="10" s="1"/>
  <c r="D27" i="10" s="1"/>
  <c r="C8" i="10"/>
  <c r="C26" i="10" s="1"/>
  <c r="G7" i="10"/>
  <c r="G6" i="10"/>
  <c r="G5" i="10"/>
  <c r="G4" i="10"/>
  <c r="G8" i="10" s="1"/>
  <c r="D111" i="11" l="1"/>
  <c r="F26" i="11"/>
  <c r="D33" i="11"/>
  <c r="D37" i="11" s="1"/>
  <c r="D55" i="11" s="1"/>
  <c r="D118" i="11" s="1"/>
  <c r="F118" i="11"/>
  <c r="G25" i="11"/>
  <c r="E26" i="11"/>
  <c r="G8" i="11"/>
  <c r="G26" i="11" s="1"/>
  <c r="C26" i="11"/>
  <c r="H26" i="11"/>
  <c r="G117" i="11"/>
  <c r="D26" i="11"/>
  <c r="E37" i="11"/>
  <c r="E55" i="11" s="1"/>
  <c r="J111" i="11"/>
  <c r="J118" i="11" s="1"/>
  <c r="J122" i="11" s="1"/>
  <c r="H37" i="11"/>
  <c r="H55" i="11" s="1"/>
  <c r="H118" i="11" s="1"/>
  <c r="C111" i="11"/>
  <c r="E111" i="11"/>
  <c r="J26" i="11"/>
  <c r="J26" i="10"/>
  <c r="D27" i="11"/>
  <c r="G37" i="11"/>
  <c r="G55" i="11" s="1"/>
  <c r="C32" i="11"/>
  <c r="C37" i="11" s="1"/>
  <c r="C55" i="11" s="1"/>
  <c r="G82" i="11"/>
  <c r="G111" i="11" s="1"/>
  <c r="G26" i="10"/>
  <c r="C32" i="10"/>
  <c r="G34" i="10"/>
  <c r="G37" i="10" s="1"/>
  <c r="G55" i="10" s="1"/>
  <c r="G118" i="10" s="1"/>
  <c r="C37" i="10"/>
  <c r="C55" i="10" s="1"/>
  <c r="C118" i="10" s="1"/>
  <c r="C123" i="10" s="1"/>
  <c r="G82" i="10"/>
  <c r="G111" i="10" s="1"/>
  <c r="H27" i="11" l="1"/>
  <c r="C118" i="11"/>
  <c r="C122" i="11" s="1"/>
  <c r="E118" i="11"/>
  <c r="E122" i="11" s="1"/>
  <c r="G118" i="11"/>
  <c r="K18" i="2" l="1"/>
  <c r="K72" i="2" l="1"/>
  <c r="K117" i="2" l="1"/>
  <c r="I8" i="2"/>
  <c r="I25" i="2"/>
  <c r="I34" i="2"/>
  <c r="I35" i="2"/>
  <c r="I82" i="2"/>
  <c r="I83" i="2"/>
  <c r="I84" i="2"/>
  <c r="I85" i="2"/>
  <c r="I86" i="2"/>
  <c r="I87" i="2"/>
  <c r="I92" i="2"/>
  <c r="I115" i="2"/>
  <c r="I117" i="2" s="1"/>
  <c r="H22" i="2"/>
  <c r="I111" i="2" l="1"/>
  <c r="I37" i="2"/>
  <c r="I55" i="2" s="1"/>
  <c r="I118" i="2" s="1"/>
  <c r="I26" i="2"/>
  <c r="C117" i="2"/>
  <c r="D117" i="2" l="1"/>
  <c r="D77" i="2"/>
  <c r="D76" i="2"/>
  <c r="D75" i="2"/>
  <c r="D71" i="2"/>
  <c r="D70" i="2"/>
  <c r="D69" i="2"/>
  <c r="D68" i="2"/>
  <c r="D67" i="2"/>
  <c r="D66" i="2"/>
  <c r="D62" i="2"/>
  <c r="D61" i="2"/>
  <c r="D60" i="2"/>
  <c r="D35" i="2"/>
  <c r="D34" i="2"/>
  <c r="D30" i="2"/>
  <c r="D12" i="2"/>
  <c r="D25" i="2" s="1"/>
  <c r="D8" i="2"/>
  <c r="D26" i="2" l="1"/>
  <c r="D111" i="2"/>
  <c r="D32" i="2"/>
  <c r="D33" i="2"/>
  <c r="D37" i="2" l="1"/>
  <c r="D55" i="2" s="1"/>
  <c r="D118" i="2" s="1"/>
  <c r="K25" i="2" l="1"/>
  <c r="K8" i="2"/>
  <c r="K26" i="2" l="1"/>
  <c r="K74" i="2"/>
  <c r="K73" i="2"/>
  <c r="K37" i="2"/>
  <c r="K55" i="2" s="1"/>
  <c r="K111" i="2" l="1"/>
  <c r="K118" i="2" s="1"/>
  <c r="K123" i="2" s="1"/>
  <c r="G55" i="2" l="1"/>
  <c r="G111" i="2"/>
  <c r="G117" i="2"/>
  <c r="H114" i="2"/>
  <c r="G37" i="2"/>
  <c r="G25" i="2"/>
  <c r="G8" i="2"/>
  <c r="H116" i="2"/>
  <c r="H113" i="2"/>
  <c r="H112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1" i="2"/>
  <c r="H90" i="2"/>
  <c r="H89" i="2"/>
  <c r="H88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8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6" i="2"/>
  <c r="H33" i="2"/>
  <c r="H32" i="2"/>
  <c r="H31" i="2"/>
  <c r="H30" i="2"/>
  <c r="H29" i="2"/>
  <c r="H23" i="2"/>
  <c r="H21" i="2"/>
  <c r="H20" i="2"/>
  <c r="H19" i="2"/>
  <c r="H18" i="2"/>
  <c r="H17" i="2"/>
  <c r="H16" i="2"/>
  <c r="H15" i="2"/>
  <c r="H14" i="2"/>
  <c r="H13" i="2"/>
  <c r="H12" i="2"/>
  <c r="H11" i="2"/>
  <c r="H7" i="2"/>
  <c r="H6" i="2"/>
  <c r="H5" i="2"/>
  <c r="H4" i="2"/>
  <c r="G118" i="2" l="1"/>
  <c r="G26" i="2"/>
  <c r="F117" i="2"/>
  <c r="F92" i="2"/>
  <c r="H92" i="2" s="1"/>
  <c r="F87" i="2"/>
  <c r="H87" i="2" s="1"/>
  <c r="F86" i="2"/>
  <c r="H86" i="2" s="1"/>
  <c r="F85" i="2"/>
  <c r="H85" i="2" s="1"/>
  <c r="F84" i="2"/>
  <c r="H84" i="2" s="1"/>
  <c r="F83" i="2"/>
  <c r="F82" i="2"/>
  <c r="H82" i="2" s="1"/>
  <c r="C77" i="2"/>
  <c r="C76" i="2"/>
  <c r="C75" i="2"/>
  <c r="C71" i="2"/>
  <c r="C70" i="2"/>
  <c r="C69" i="2"/>
  <c r="C68" i="2"/>
  <c r="C67" i="2"/>
  <c r="C66" i="2"/>
  <c r="C62" i="2"/>
  <c r="C61" i="2"/>
  <c r="C60" i="2"/>
  <c r="F35" i="2"/>
  <c r="H35" i="2" s="1"/>
  <c r="C35" i="2"/>
  <c r="F34" i="2"/>
  <c r="H34" i="2" s="1"/>
  <c r="C34" i="2"/>
  <c r="C30" i="2"/>
  <c r="C33" i="2" s="1"/>
  <c r="F25" i="2"/>
  <c r="C12" i="2"/>
  <c r="F8" i="2"/>
  <c r="C8" i="2"/>
  <c r="C26" i="2" l="1"/>
  <c r="D27" i="2" s="1"/>
  <c r="F111" i="2"/>
  <c r="H83" i="2"/>
  <c r="F26" i="2"/>
  <c r="I27" i="2" s="1"/>
  <c r="F37" i="2"/>
  <c r="F55" i="2" s="1"/>
  <c r="H117" i="2"/>
  <c r="C25" i="2"/>
  <c r="H25" i="2"/>
  <c r="H8" i="2"/>
  <c r="C111" i="2"/>
  <c r="C32" i="2"/>
  <c r="F118" i="2" l="1"/>
  <c r="F123" i="2" s="1"/>
  <c r="H26" i="2"/>
  <c r="H111" i="2"/>
  <c r="C37" i="2"/>
  <c r="C55" i="2" s="1"/>
  <c r="C118" i="2" s="1"/>
  <c r="C123" i="2" s="1"/>
  <c r="H37" i="2"/>
  <c r="H55" i="2" s="1"/>
  <c r="H118" i="2" l="1"/>
</calcChain>
</file>

<file path=xl/comments1.xml><?xml version="1.0" encoding="utf-8"?>
<comments xmlns="http://schemas.openxmlformats.org/spreadsheetml/2006/main">
  <authors>
    <author>Judi Kennington-Korf</author>
  </authors>
  <commentList>
    <comment ref="F4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Computer:  $300/mo+ $450 travel=$4050; Web=$300; 
Storage=$300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Computer:  $300/mo+ $450 travel=$4050; Web=$300; 
Storage=$300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Copier x 2, cleaning, other</t>
        </r>
      </text>
    </comment>
    <comment ref="I5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Copier x 2, cleaning, other</t>
        </r>
      </text>
    </comment>
  </commentList>
</comments>
</file>

<file path=xl/comments2.xml><?xml version="1.0" encoding="utf-8"?>
<comments xmlns="http://schemas.openxmlformats.org/spreadsheetml/2006/main">
  <authors>
    <author>Judi Kennington-Korf</author>
  </authors>
  <commentList>
    <comment ref="E4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Computer:  $300/mo+ $450 travel=$4050; Web=$300; 
Storage=$300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Computer:  $300/mo+ $450 travel=$4050; Web=$300; 
Storage=$300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Copier x 2, cleaning, other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Copier x 2, cleaning, other</t>
        </r>
      </text>
    </comment>
  </commentList>
</comments>
</file>

<file path=xl/comments3.xml><?xml version="1.0" encoding="utf-8"?>
<comments xmlns="http://schemas.openxmlformats.org/spreadsheetml/2006/main">
  <authors>
    <author>Judi Kennington-Korf</author>
  </authors>
  <commentList>
    <comment ref="E4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Computer:  $300/mo+ $450 travel=$4050; Web=$300; 
Storage=$300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Computer:  $300/mo+ $450 travel=$4050; Web=$300; 
Storage=$300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Copier x 2, cleaning, other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>Judi Kennington-Korf:</t>
        </r>
        <r>
          <rPr>
            <sz val="9"/>
            <color indexed="81"/>
            <rFont val="Tahoma"/>
            <family val="2"/>
          </rPr>
          <t xml:space="preserve">
Copier x 2, cleaning, other</t>
        </r>
      </text>
    </comment>
  </commentList>
</comments>
</file>

<file path=xl/sharedStrings.xml><?xml version="1.0" encoding="utf-8"?>
<sst xmlns="http://schemas.openxmlformats.org/spreadsheetml/2006/main" count="708" uniqueCount="230">
  <si>
    <t>ACCOUNT</t>
  </si>
  <si>
    <t>Adopted</t>
  </si>
  <si>
    <t>As of</t>
  </si>
  <si>
    <t>Balance</t>
  </si>
  <si>
    <t>NUMBER</t>
  </si>
  <si>
    <t>2016-17</t>
  </si>
  <si>
    <t>2017-18</t>
  </si>
  <si>
    <t>REVENUES</t>
  </si>
  <si>
    <t>Taxes Current Year, Hendry County</t>
  </si>
  <si>
    <t>319-1000</t>
  </si>
  <si>
    <t>Taxes Current Year, Glades County</t>
  </si>
  <si>
    <t>319-2000</t>
  </si>
  <si>
    <t xml:space="preserve">Taxes Prior Year, Hendry County </t>
  </si>
  <si>
    <t>319-3000</t>
  </si>
  <si>
    <t>Taxes Prior Year, Glades County</t>
  </si>
  <si>
    <t>319-4000</t>
  </si>
  <si>
    <t>Sub-total Tax Revenue</t>
  </si>
  <si>
    <t>Permit Fees</t>
  </si>
  <si>
    <t>329-0000</t>
  </si>
  <si>
    <t>Joint Trust Contribution</t>
  </si>
  <si>
    <t>343-7000</t>
  </si>
  <si>
    <t>349-1000</t>
  </si>
  <si>
    <t>361-1001</t>
  </si>
  <si>
    <t>361-1100</t>
  </si>
  <si>
    <t>Interest, Glades County Tax Collector</t>
  </si>
  <si>
    <t>361-3200</t>
  </si>
  <si>
    <t>Interest, Hendry County Tax Collector</t>
  </si>
  <si>
    <t>361-3210</t>
  </si>
  <si>
    <t>362-0000</t>
  </si>
  <si>
    <t>369-9000</t>
  </si>
  <si>
    <t>Labor from ISF to GF (includes 4% Adm Fee)</t>
  </si>
  <si>
    <t>369-9100</t>
  </si>
  <si>
    <t>Penalties, Hendry County Tax Collector</t>
  </si>
  <si>
    <t>369-9200</t>
  </si>
  <si>
    <t>Penalties, Glades County Tax Collector</t>
  </si>
  <si>
    <t>369-9210</t>
  </si>
  <si>
    <t>Budgeted Carry Forward - Committed Unassigned</t>
  </si>
  <si>
    <t>389-9000</t>
  </si>
  <si>
    <t>Budgeted Carry Forward - Committed Emergency Assigned</t>
  </si>
  <si>
    <t>389-9300</t>
  </si>
  <si>
    <t>Budgeted Carry Forward - Joint Trust Escrow for Hendry permit</t>
  </si>
  <si>
    <t>389-9400</t>
  </si>
  <si>
    <t>Sub-total Other Revenues Including Reserves:</t>
  </si>
  <si>
    <t>TOTAL REVENUE</t>
  </si>
  <si>
    <t>Salaries, General Manager</t>
  </si>
  <si>
    <t>512-1200</t>
  </si>
  <si>
    <t xml:space="preserve">Salaries, Clerical </t>
  </si>
  <si>
    <t>513-1200</t>
  </si>
  <si>
    <t>Salaries, Clerical, Overtime</t>
  </si>
  <si>
    <t>513-1400</t>
  </si>
  <si>
    <t>513-2100</t>
  </si>
  <si>
    <t>513-2200</t>
  </si>
  <si>
    <t>Group Health Insurance</t>
  </si>
  <si>
    <t>513-2300</t>
  </si>
  <si>
    <t>513-2301</t>
  </si>
  <si>
    <t>513-2400</t>
  </si>
  <si>
    <t>Professional Services, Legal</t>
  </si>
  <si>
    <t>513-3100</t>
  </si>
  <si>
    <t>Professional Services, Computer/MIS</t>
  </si>
  <si>
    <t>513-3101</t>
  </si>
  <si>
    <t>Accounting &amp; Auditing, Bookkeeping</t>
  </si>
  <si>
    <t>513-3210</t>
  </si>
  <si>
    <t>Accounting &amp; Auditing, Audit</t>
  </si>
  <si>
    <t>513-3220</t>
  </si>
  <si>
    <t>Tax Collection Fees - Hendry County</t>
  </si>
  <si>
    <t>513-3410</t>
  </si>
  <si>
    <t>513-3420</t>
  </si>
  <si>
    <t>Travel &amp; Per Diem (Administration &amp; Field)</t>
  </si>
  <si>
    <t>513-4000</t>
  </si>
  <si>
    <t>Communication Services</t>
  </si>
  <si>
    <t>513-4100</t>
  </si>
  <si>
    <t>Freight &amp; Postage Services</t>
  </si>
  <si>
    <t>513-4200</t>
  </si>
  <si>
    <t>Utility Services</t>
  </si>
  <si>
    <t>513-4300</t>
  </si>
  <si>
    <t>Repair &amp; Maintenance Services, Computer</t>
  </si>
  <si>
    <t>513-4610</t>
  </si>
  <si>
    <t>Repair &amp; Maintenance Services, Other Office</t>
  </si>
  <si>
    <t>513-4620</t>
  </si>
  <si>
    <t>Other Current Charges &amp; Obligations</t>
  </si>
  <si>
    <t>513-4900</t>
  </si>
  <si>
    <t>Office Supplies</t>
  </si>
  <si>
    <t>513-5100</t>
  </si>
  <si>
    <t>Operating Supplies</t>
  </si>
  <si>
    <t>513-5200</t>
  </si>
  <si>
    <t>Books, Publications, Subscriptions, and Memberships</t>
  </si>
  <si>
    <t>513-5400</t>
  </si>
  <si>
    <t>TOTAL Administration Expenditures</t>
  </si>
  <si>
    <t>537-4302</t>
  </si>
  <si>
    <t>Pump Repair - IR (ISF)</t>
  </si>
  <si>
    <t>537-4602</t>
  </si>
  <si>
    <t>Regular Salaries &amp; Wages, UR 51%</t>
  </si>
  <si>
    <t>539-1201</t>
  </si>
  <si>
    <t>Regular Salaries &amp; Wages, IR 43%</t>
  </si>
  <si>
    <t>539-1202</t>
  </si>
  <si>
    <t>Regular Salaries &amp; Wages, DR 6%</t>
  </si>
  <si>
    <t>539-1203</t>
  </si>
  <si>
    <t>Overtime Salaries &amp; Wages, Field Overtime, UR 51%</t>
  </si>
  <si>
    <t>539-1401</t>
  </si>
  <si>
    <t>Overtime Salaries &amp; Wages, IR 43%</t>
  </si>
  <si>
    <t>539-1402</t>
  </si>
  <si>
    <t>Overtime Salaries &amp; Wages, DR 6%</t>
  </si>
  <si>
    <t>539-1403</t>
  </si>
  <si>
    <t>FICA Taxes for Regular and OT, UR 51%</t>
  </si>
  <si>
    <t>539-2101</t>
  </si>
  <si>
    <t>FICA Taxes for Regular and OT, IR 43%</t>
  </si>
  <si>
    <t>539-2102</t>
  </si>
  <si>
    <t>FICA Taxes for Regular and OT, DR 6%</t>
  </si>
  <si>
    <t>539-2103</t>
  </si>
  <si>
    <t>FRS Retirement Contribution, UR 51%</t>
  </si>
  <si>
    <t>539-2201</t>
  </si>
  <si>
    <t>FRS Retirement Contribution, IR 43%</t>
  </si>
  <si>
    <t>539-2202</t>
  </si>
  <si>
    <t>FRS Retirement Contribution, DR 6%</t>
  </si>
  <si>
    <t>539-2203</t>
  </si>
  <si>
    <t>Group Health Insurance, UR 51%</t>
  </si>
  <si>
    <t>539-2301</t>
  </si>
  <si>
    <t>Group Health Insurance, IR 43%</t>
  </si>
  <si>
    <t>539-2302</t>
  </si>
  <si>
    <t>Group Health Insurance, DR 6%</t>
  </si>
  <si>
    <t>539-2303</t>
  </si>
  <si>
    <t>Group Life Insurance, UR 51%</t>
  </si>
  <si>
    <t>539-2305</t>
  </si>
  <si>
    <t>Group Life Insurance, IR 43%</t>
  </si>
  <si>
    <t>539-2306</t>
  </si>
  <si>
    <t>Group Life Insurance, DR 6%</t>
  </si>
  <si>
    <t>539-2307</t>
  </si>
  <si>
    <t>Workers' Compensation, UR 51%</t>
  </si>
  <si>
    <t>539-2401</t>
  </si>
  <si>
    <t>Workers' Compensation, IR 43%</t>
  </si>
  <si>
    <t>539-2402</t>
  </si>
  <si>
    <t>Workers' Compensation, DR 6%</t>
  </si>
  <si>
    <t>539-2403</t>
  </si>
  <si>
    <t>Professional Service, Engineering, UR 51%</t>
  </si>
  <si>
    <t>539-3111</t>
  </si>
  <si>
    <t>Professional Service, Engineering, IR 43%</t>
  </si>
  <si>
    <t>539-3112</t>
  </si>
  <si>
    <t>Professional Service, Engineering, DR 6%</t>
  </si>
  <si>
    <t>539-3113</t>
  </si>
  <si>
    <t>Other Services, Canal Maintenance, UR 51%</t>
  </si>
  <si>
    <t>539-3411</t>
  </si>
  <si>
    <t>Other Services, Canal Maintenance - Internal, IR 43%</t>
  </si>
  <si>
    <t>539-3412</t>
  </si>
  <si>
    <t>Other Services, Canal Maintenance - Joint Trust, DR</t>
  </si>
  <si>
    <t>539-3423</t>
  </si>
  <si>
    <t>Other Services, WCS Repair &amp; Maintenance, UR 51%</t>
  </si>
  <si>
    <t>539-3451</t>
  </si>
  <si>
    <t>Other Services, WCS Repair &amp; Maintenance - Internal, IR 43%</t>
  </si>
  <si>
    <t>539-3452</t>
  </si>
  <si>
    <t>Other Services, WCS Repair &amp; Maintenance - Joint Trust, DR</t>
  </si>
  <si>
    <t>539-3463</t>
  </si>
  <si>
    <t>Travel &amp; Per Diem</t>
  </si>
  <si>
    <t>539-4000</t>
  </si>
  <si>
    <t>Communication Services, Cellular, UR 51%</t>
  </si>
  <si>
    <t>539-4101</t>
  </si>
  <si>
    <t>Communication Services, Cellular, IR 43%</t>
  </si>
  <si>
    <t>539-4102</t>
  </si>
  <si>
    <t>Communication Services, Cellular, DR 6%</t>
  </si>
  <si>
    <t>539-4103</t>
  </si>
  <si>
    <t>Utility Services, UR</t>
  </si>
  <si>
    <t>539-4301</t>
  </si>
  <si>
    <t>Rentals and leases, UR 51%</t>
  </si>
  <si>
    <t>539-4401</t>
  </si>
  <si>
    <t>Rentals and leases, IR 43%</t>
  </si>
  <si>
    <t>539-4402</t>
  </si>
  <si>
    <t>Rentals and leases, DR 6%</t>
  </si>
  <si>
    <t>539-4403</t>
  </si>
  <si>
    <t>Insurance, P&amp;C Liability (88%), UR 51%</t>
  </si>
  <si>
    <t>539-4501</t>
  </si>
  <si>
    <t>Insurance, P&amp;C Liability (88%), IR 43%</t>
  </si>
  <si>
    <t>539-4502</t>
  </si>
  <si>
    <t>Insurance, P&amp;C Liability (88%), DR 6%</t>
  </si>
  <si>
    <t>539-4503</t>
  </si>
  <si>
    <t>Repair &amp; Maintenance Services, UR 51%</t>
  </si>
  <si>
    <t>539-4601</t>
  </si>
  <si>
    <t>Repair &amp; Maintenance Services, IR 43%</t>
  </si>
  <si>
    <t>539-4602</t>
  </si>
  <si>
    <t>Repair &amp; Maintenance Services, DR 6%</t>
  </si>
  <si>
    <t>539-4603</t>
  </si>
  <si>
    <t>Operating Supplies, UR 51%</t>
  </si>
  <si>
    <t>539-5211</t>
  </si>
  <si>
    <t>Operating Supplies, IR 43%</t>
  </si>
  <si>
    <t>539-5212</t>
  </si>
  <si>
    <t>Operating Supplies, DR 6%</t>
  </si>
  <si>
    <t>539-5213</t>
  </si>
  <si>
    <t>Operating Supplies, Chemical, In-house, UR 51%</t>
  </si>
  <si>
    <t>539-5221</t>
  </si>
  <si>
    <t>Operating Supplies, Chemical, In-house, IR 43%</t>
  </si>
  <si>
    <t>539-5222</t>
  </si>
  <si>
    <t>Operating Supplies, Chemical, In-house, DR 6%</t>
  </si>
  <si>
    <t>539-5223</t>
  </si>
  <si>
    <t>TOTAL Field Operations</t>
  </si>
  <si>
    <t>Capital Outlay, Machinery &amp; Equipment</t>
  </si>
  <si>
    <t>539-6400.1</t>
  </si>
  <si>
    <t>Contingency</t>
  </si>
  <si>
    <t>580-0000</t>
  </si>
  <si>
    <t>Budgeted Carry Forward, Committed Emergency Assigned</t>
  </si>
  <si>
    <t>580-3000</t>
  </si>
  <si>
    <t>Budgeted Carry Forward- Committed Unassigned</t>
  </si>
  <si>
    <t>580-4000</t>
  </si>
  <si>
    <t>* Budgeted Carry Forward -JointTrustCapital (HC Permit)</t>
  </si>
  <si>
    <t>580-5000.1</t>
  </si>
  <si>
    <t>TOTAL EXPENDITURES</t>
  </si>
  <si>
    <t>Proposed</t>
  </si>
  <si>
    <t>2018-19</t>
  </si>
  <si>
    <t xml:space="preserve">Approved:  </t>
  </si>
  <si>
    <t>Draft presented:  5/  /2018 BOS meeting</t>
  </si>
  <si>
    <t>Retirement (19.55% UM; 8.26% HA/PA)</t>
  </si>
  <si>
    <t>* Note:  $109,783 is in Liability Escrow (Hendry County C-1 Permit)</t>
  </si>
  <si>
    <t>DR    Drainage</t>
  </si>
  <si>
    <t>IR      Irrigation</t>
  </si>
  <si>
    <t>UR    Urban</t>
  </si>
  <si>
    <t>EXPENSES:  Administration</t>
  </si>
  <si>
    <t>EXPENSES:  Field Operations</t>
  </si>
  <si>
    <t>TOTAL Capital</t>
  </si>
  <si>
    <t>Sub-total of Administrative Expenses shared by PLCDD</t>
  </si>
  <si>
    <t>Interest - General Fund (Checking Account)</t>
  </si>
  <si>
    <t>Interest - General Fund Investments (CD Account)</t>
  </si>
  <si>
    <t>Intergovernmental Revenue (PLCDD, GGWCD)</t>
  </si>
  <si>
    <t>Rental Income (PLCDD, other)</t>
  </si>
  <si>
    <t>Amended</t>
  </si>
  <si>
    <t>Workers Compensation (12%) (1/2 will be paid by PLCDD)</t>
  </si>
  <si>
    <t xml:space="preserve"> 5/30/2018</t>
  </si>
  <si>
    <r>
      <t>Tax Collection Fees - Glades County</t>
    </r>
    <r>
      <rPr>
        <sz val="10"/>
        <rFont val="Arial"/>
        <family val="2"/>
      </rPr>
      <t xml:space="preserve"> (&amp; SFWMD tax invoice)</t>
    </r>
  </si>
  <si>
    <r>
      <t>Miscellaneous Income</t>
    </r>
    <r>
      <rPr>
        <sz val="10"/>
        <rFont val="Arial"/>
        <family val="2"/>
      </rPr>
      <t xml:space="preserve"> (&amp; SFWMD tax invoice)</t>
    </r>
  </si>
  <si>
    <t>Urban Grove</t>
  </si>
  <si>
    <t>Group Life Insurance - Admin ($142.21/year/employee)</t>
  </si>
  <si>
    <t>Adopted Budget:</t>
  </si>
  <si>
    <t>Electric Service, Pumping - IR (JT)</t>
  </si>
  <si>
    <t>FICA for Regular and Clerical OT (7.65%)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</si>
</sst>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164" fontId="1" fillId="2" borderId="2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28" xfId="0" applyNumberFormat="1" applyFont="1" applyFill="1" applyBorder="1" applyAlignment="1">
      <alignment horizontal="right" vertical="center"/>
    </xf>
    <xf numFmtId="164" fontId="3" fillId="2" borderId="28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" fontId="1" fillId="0" borderId="6" xfId="0" applyNumberFormat="1" applyFont="1" applyFill="1" applyBorder="1" applyAlignment="1">
      <alignment horizontal="right" vertical="center"/>
    </xf>
    <xf numFmtId="1" fontId="1" fillId="0" borderId="8" xfId="0" applyNumberFormat="1" applyFont="1" applyFill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" fontId="1" fillId="0" borderId="9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0" fontId="1" fillId="0" borderId="29" xfId="0" applyNumberFormat="1" applyFont="1" applyFill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3" fillId="0" borderId="26" xfId="0" applyNumberFormat="1" applyFont="1" applyFill="1" applyBorder="1" applyAlignment="1">
      <alignment vertical="center"/>
    </xf>
    <xf numFmtId="164" fontId="1" fillId="0" borderId="2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" fontId="3" fillId="0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1" fillId="0" borderId="33" xfId="0" applyNumberFormat="1" applyFont="1" applyFill="1" applyBorder="1" applyAlignment="1">
      <alignment horizontal="right" vertical="center"/>
    </xf>
    <xf numFmtId="164" fontId="1" fillId="0" borderId="33" xfId="0" applyNumberFormat="1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horizontal="right" vertical="center"/>
    </xf>
    <xf numFmtId="164" fontId="3" fillId="0" borderId="17" xfId="0" applyNumberFormat="1" applyFont="1" applyBorder="1" applyAlignment="1">
      <alignment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164" fontId="1" fillId="2" borderId="33" xfId="0" applyNumberFormat="1" applyFont="1" applyFill="1" applyBorder="1" applyAlignment="1">
      <alignment horizontal="right" vertical="center"/>
    </xf>
    <xf numFmtId="164" fontId="1" fillId="0" borderId="33" xfId="0" applyNumberFormat="1" applyFont="1" applyBorder="1" applyAlignment="1">
      <alignment vertical="center"/>
    </xf>
    <xf numFmtId="1" fontId="3" fillId="0" borderId="1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/>
    <xf numFmtId="164" fontId="7" fillId="0" borderId="33" xfId="0" applyNumberFormat="1" applyFont="1" applyBorder="1"/>
    <xf numFmtId="164" fontId="7" fillId="0" borderId="1" xfId="0" applyNumberFormat="1" applyFont="1" applyFill="1" applyBorder="1"/>
    <xf numFmtId="164" fontId="1" fillId="0" borderId="28" xfId="0" applyNumberFormat="1" applyFont="1" applyBorder="1" applyAlignment="1">
      <alignment vertical="center"/>
    </xf>
    <xf numFmtId="164" fontId="7" fillId="0" borderId="0" xfId="0" applyNumberFormat="1" applyFont="1"/>
    <xf numFmtId="164" fontId="7" fillId="0" borderId="8" xfId="0" applyNumberFormat="1" applyFont="1" applyBorder="1"/>
    <xf numFmtId="164" fontId="3" fillId="0" borderId="7" xfId="0" applyNumberFormat="1" applyFont="1" applyBorder="1" applyAlignment="1">
      <alignment vertical="center"/>
    </xf>
    <xf numFmtId="164" fontId="1" fillId="2" borderId="38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164" fontId="1" fillId="3" borderId="1" xfId="0" applyNumberFormat="1" applyFont="1" applyFill="1" applyBorder="1" applyAlignment="1">
      <alignment vertical="center"/>
    </xf>
    <xf numFmtId="164" fontId="1" fillId="3" borderId="33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1" fillId="3" borderId="8" xfId="0" applyNumberFormat="1" applyFont="1" applyFill="1" applyBorder="1" applyAlignment="1">
      <alignment vertical="center"/>
    </xf>
    <xf numFmtId="164" fontId="8" fillId="3" borderId="1" xfId="0" applyNumberFormat="1" applyFont="1" applyFill="1" applyBorder="1"/>
    <xf numFmtId="164" fontId="3" fillId="3" borderId="8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/>
    </xf>
    <xf numFmtId="164" fontId="8" fillId="3" borderId="33" xfId="0" applyNumberFormat="1" applyFont="1" applyFill="1" applyBorder="1"/>
    <xf numFmtId="164" fontId="8" fillId="3" borderId="37" xfId="0" applyNumberFormat="1" applyFont="1" applyFill="1" applyBorder="1"/>
    <xf numFmtId="164" fontId="8" fillId="3" borderId="19" xfId="0" applyNumberFormat="1" applyFont="1" applyFill="1" applyBorder="1"/>
    <xf numFmtId="0" fontId="8" fillId="3" borderId="0" xfId="0" applyFont="1" applyFill="1"/>
    <xf numFmtId="164" fontId="11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2" fillId="0" borderId="0" xfId="0" applyNumberFormat="1" applyFont="1" applyFill="1" applyAlignment="1">
      <alignment horizontal="right" vertical="center"/>
    </xf>
    <xf numFmtId="164" fontId="12" fillId="3" borderId="0" xfId="0" applyNumberFormat="1" applyFont="1" applyFill="1"/>
    <xf numFmtId="164" fontId="3" fillId="2" borderId="39" xfId="0" applyNumberFormat="1" applyFont="1" applyFill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164" fontId="9" fillId="3" borderId="7" xfId="0" applyNumberFormat="1" applyFont="1" applyFill="1" applyBorder="1"/>
    <xf numFmtId="164" fontId="9" fillId="3" borderId="4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3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64" fontId="3" fillId="0" borderId="44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right" vertical="center"/>
    </xf>
    <xf numFmtId="164" fontId="1" fillId="0" borderId="24" xfId="0" applyNumberFormat="1" applyFont="1" applyFill="1" applyBorder="1" applyAlignment="1">
      <alignment horizontal="right" vertical="center"/>
    </xf>
    <xf numFmtId="164" fontId="1" fillId="0" borderId="48" xfId="0" applyNumberFormat="1" applyFont="1" applyFill="1" applyBorder="1" applyAlignment="1">
      <alignment horizontal="right" vertical="center"/>
    </xf>
    <xf numFmtId="164" fontId="1" fillId="0" borderId="49" xfId="0" applyNumberFormat="1" applyFont="1" applyFill="1" applyBorder="1" applyAlignment="1">
      <alignment horizontal="right" vertical="center"/>
    </xf>
    <xf numFmtId="164" fontId="3" fillId="0" borderId="50" xfId="0" applyNumberFormat="1" applyFont="1" applyFill="1" applyBorder="1" applyAlignment="1">
      <alignment horizontal="right" vertical="center"/>
    </xf>
    <xf numFmtId="164" fontId="3" fillId="0" borderId="51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53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164" fontId="3" fillId="0" borderId="54" xfId="0" applyNumberFormat="1" applyFont="1" applyFill="1" applyBorder="1" applyAlignment="1">
      <alignment horizontal="right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 wrapText="1"/>
    </xf>
    <xf numFmtId="164" fontId="1" fillId="2" borderId="32" xfId="0" applyNumberFormat="1" applyFont="1" applyFill="1" applyBorder="1" applyAlignment="1">
      <alignment horizontal="right" vertical="center"/>
    </xf>
    <xf numFmtId="164" fontId="3" fillId="2" borderId="23" xfId="0" applyNumberFormat="1" applyFont="1" applyFill="1" applyBorder="1" applyAlignment="1">
      <alignment horizontal="right" vertical="center"/>
    </xf>
    <xf numFmtId="164" fontId="3" fillId="2" borderId="42" xfId="0" applyNumberFormat="1" applyFont="1" applyFill="1" applyBorder="1" applyAlignment="1">
      <alignment horizontal="right" vertical="center"/>
    </xf>
    <xf numFmtId="164" fontId="1" fillId="0" borderId="32" xfId="0" applyNumberFormat="1" applyFont="1" applyFill="1" applyBorder="1" applyAlignment="1">
      <alignment horizontal="right" vertical="center"/>
    </xf>
    <xf numFmtId="164" fontId="3" fillId="2" borderId="43" xfId="0" applyNumberFormat="1" applyFont="1" applyFill="1" applyBorder="1" applyAlignment="1">
      <alignment horizontal="right" vertical="center"/>
    </xf>
    <xf numFmtId="164" fontId="3" fillId="2" borderId="41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center" vertical="center"/>
    </xf>
    <xf numFmtId="164" fontId="3" fillId="3" borderId="45" xfId="0" applyNumberFormat="1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center" vertical="center" wrapText="1"/>
    </xf>
    <xf numFmtId="14" fontId="9" fillId="3" borderId="24" xfId="0" applyNumberFormat="1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vertical="center"/>
    </xf>
    <xf numFmtId="0" fontId="8" fillId="3" borderId="24" xfId="0" applyFont="1" applyFill="1" applyBorder="1"/>
    <xf numFmtId="164" fontId="1" fillId="0" borderId="47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164" fontId="1" fillId="0" borderId="48" xfId="0" applyNumberFormat="1" applyFont="1" applyFill="1" applyBorder="1" applyAlignment="1">
      <alignment vertical="center"/>
    </xf>
    <xf numFmtId="164" fontId="1" fillId="3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3" borderId="51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3" fillId="3" borderId="53" xfId="0" applyNumberFormat="1" applyFont="1" applyFill="1" applyBorder="1" applyAlignment="1">
      <alignment vertical="center"/>
    </xf>
    <xf numFmtId="164" fontId="1" fillId="3" borderId="5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horizontal="right" vertical="center"/>
    </xf>
    <xf numFmtId="164" fontId="1" fillId="0" borderId="47" xfId="0" applyNumberFormat="1" applyFont="1" applyBorder="1" applyAlignment="1">
      <alignment vertical="center"/>
    </xf>
    <xf numFmtId="164" fontId="1" fillId="3" borderId="57" xfId="0" applyNumberFormat="1" applyFont="1" applyFill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3" fillId="0" borderId="54" xfId="0" applyNumberFormat="1" applyFont="1" applyBorder="1" applyAlignment="1">
      <alignment vertical="center"/>
    </xf>
    <xf numFmtId="164" fontId="9" fillId="3" borderId="58" xfId="0" applyNumberFormat="1" applyFont="1" applyFill="1" applyBorder="1"/>
    <xf numFmtId="164" fontId="9" fillId="3" borderId="51" xfId="0" applyNumberFormat="1" applyFont="1" applyFill="1" applyBorder="1"/>
    <xf numFmtId="164" fontId="3" fillId="2" borderId="59" xfId="0" applyNumberFormat="1" applyFont="1" applyFill="1" applyBorder="1" applyAlignment="1">
      <alignment horizontal="center" vertical="center"/>
    </xf>
    <xf numFmtId="14" fontId="1" fillId="2" borderId="38" xfId="0" applyNumberFormat="1" applyFont="1" applyFill="1" applyBorder="1" applyAlignment="1">
      <alignment horizontal="center" vertical="center"/>
    </xf>
    <xf numFmtId="164" fontId="1" fillId="2" borderId="60" xfId="0" applyNumberFormat="1" applyFont="1" applyFill="1" applyBorder="1" applyAlignment="1">
      <alignment horizontal="right" vertical="center"/>
    </xf>
    <xf numFmtId="164" fontId="3" fillId="2" borderId="35" xfId="0" applyNumberFormat="1" applyFont="1" applyFill="1" applyBorder="1" applyAlignment="1">
      <alignment horizontal="right" vertical="center"/>
    </xf>
    <xf numFmtId="164" fontId="3" fillId="2" borderId="38" xfId="0" applyNumberFormat="1" applyFont="1" applyFill="1" applyBorder="1" applyAlignment="1">
      <alignment horizontal="right" vertical="center"/>
    </xf>
    <xf numFmtId="164" fontId="1" fillId="2" borderId="28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1" fillId="0" borderId="36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1" fillId="0" borderId="2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tabSelected="1" view="pageLayout" zoomScaleNormal="100" workbookViewId="0"/>
  </sheetViews>
  <sheetFormatPr defaultRowHeight="14.25" x14ac:dyDescent="0.2"/>
  <cols>
    <col min="1" max="1" width="52.5703125" style="46" customWidth="1"/>
    <col min="2" max="2" width="9.28515625" style="101" customWidth="1"/>
    <col min="3" max="4" width="14" style="47" customWidth="1"/>
    <col min="5" max="5" width="1.140625" style="47" customWidth="1"/>
    <col min="6" max="6" width="14" style="58" customWidth="1"/>
    <col min="7" max="7" width="14" style="47" customWidth="1"/>
    <col min="8" max="8" width="14" style="58" customWidth="1"/>
    <col min="9" max="9" width="14.140625" style="151" customWidth="1"/>
    <col min="10" max="10" width="1.140625" style="47" customWidth="1"/>
    <col min="11" max="11" width="15.42578125" style="104" customWidth="1"/>
    <col min="12" max="12" width="14.7109375" style="152" customWidth="1"/>
    <col min="13" max="13" width="12.140625" style="153" customWidth="1"/>
    <col min="14" max="14" width="17.5703125" style="61" customWidth="1"/>
    <col min="15" max="16384" width="9.140625" style="61"/>
  </cols>
  <sheetData>
    <row r="1" spans="1:13" ht="15.75" thickBot="1" x14ac:dyDescent="0.3">
      <c r="A1" s="1"/>
      <c r="B1" s="165" t="s">
        <v>0</v>
      </c>
      <c r="C1" s="174" t="s">
        <v>1</v>
      </c>
      <c r="D1" s="175" t="s">
        <v>220</v>
      </c>
      <c r="E1" s="221"/>
      <c r="F1" s="174" t="s">
        <v>1</v>
      </c>
      <c r="G1" s="199" t="s">
        <v>2</v>
      </c>
      <c r="H1" s="199" t="s">
        <v>3</v>
      </c>
      <c r="I1" s="200" t="s">
        <v>220</v>
      </c>
      <c r="J1" s="191"/>
      <c r="K1" s="77" t="s">
        <v>203</v>
      </c>
    </row>
    <row r="2" spans="1:13" ht="15.75" thickBot="1" x14ac:dyDescent="0.3">
      <c r="A2" s="1"/>
      <c r="B2" s="166" t="s">
        <v>4</v>
      </c>
      <c r="C2" s="176" t="s">
        <v>5</v>
      </c>
      <c r="D2" s="177" t="s">
        <v>5</v>
      </c>
      <c r="E2" s="192"/>
      <c r="F2" s="201" t="s">
        <v>6</v>
      </c>
      <c r="G2" s="5">
        <v>43190</v>
      </c>
      <c r="H2" s="5" t="s">
        <v>222</v>
      </c>
      <c r="I2" s="202">
        <v>43250</v>
      </c>
      <c r="J2" s="192"/>
      <c r="K2" s="77" t="s">
        <v>204</v>
      </c>
      <c r="L2" s="61"/>
      <c r="M2" s="61"/>
    </row>
    <row r="3" spans="1:13" ht="15.75" thickBot="1" x14ac:dyDescent="0.25">
      <c r="A3" s="7" t="s">
        <v>7</v>
      </c>
      <c r="B3" s="167"/>
      <c r="C3" s="178"/>
      <c r="D3" s="179">
        <v>42886</v>
      </c>
      <c r="E3" s="222"/>
      <c r="F3" s="203"/>
      <c r="G3" s="2"/>
      <c r="H3" s="8"/>
      <c r="I3" s="204"/>
      <c r="J3" s="131"/>
      <c r="K3" s="63"/>
      <c r="L3" s="61"/>
      <c r="M3" s="61"/>
    </row>
    <row r="4" spans="1:13" ht="15" thickBot="1" x14ac:dyDescent="0.25">
      <c r="A4" s="1" t="s">
        <v>8</v>
      </c>
      <c r="B4" s="168" t="s">
        <v>9</v>
      </c>
      <c r="C4" s="180">
        <v>605818.13</v>
      </c>
      <c r="D4" s="181">
        <v>605818.13</v>
      </c>
      <c r="E4" s="131"/>
      <c r="F4" s="205">
        <v>636410.23</v>
      </c>
      <c r="G4" s="124">
        <v>558578.23</v>
      </c>
      <c r="H4" s="11">
        <f>F4-G4</f>
        <v>77832</v>
      </c>
      <c r="I4" s="206">
        <v>636410.23</v>
      </c>
      <c r="J4" s="193"/>
      <c r="K4" s="63">
        <v>599705.38</v>
      </c>
      <c r="L4" s="61"/>
      <c r="M4" s="61"/>
    </row>
    <row r="5" spans="1:13" ht="15" thickBot="1" x14ac:dyDescent="0.25">
      <c r="A5" s="1" t="s">
        <v>10</v>
      </c>
      <c r="B5" s="168" t="s">
        <v>11</v>
      </c>
      <c r="C5" s="180">
        <v>135096.98000000001</v>
      </c>
      <c r="D5" s="181">
        <v>135096.98000000001</v>
      </c>
      <c r="E5" s="131"/>
      <c r="F5" s="205">
        <v>133613.60999999999</v>
      </c>
      <c r="G5" s="124">
        <v>130883.87</v>
      </c>
      <c r="H5" s="11">
        <f>F5-G5</f>
        <v>2729.7399999999907</v>
      </c>
      <c r="I5" s="206">
        <v>133613.60999999999</v>
      </c>
      <c r="J5" s="193"/>
      <c r="K5" s="63">
        <v>131940.79999999999</v>
      </c>
      <c r="L5" s="61"/>
      <c r="M5" s="61"/>
    </row>
    <row r="6" spans="1:13" ht="15" thickBot="1" x14ac:dyDescent="0.25">
      <c r="A6" s="1" t="s">
        <v>12</v>
      </c>
      <c r="B6" s="168" t="s">
        <v>13</v>
      </c>
      <c r="C6" s="180">
        <v>3994.14</v>
      </c>
      <c r="D6" s="181">
        <v>3994.14</v>
      </c>
      <c r="E6" s="131"/>
      <c r="F6" s="205">
        <v>5000</v>
      </c>
      <c r="G6" s="124">
        <v>4035.79</v>
      </c>
      <c r="H6" s="11">
        <f>F6-G6</f>
        <v>964.21</v>
      </c>
      <c r="I6" s="206">
        <v>5000</v>
      </c>
      <c r="J6" s="193"/>
      <c r="K6" s="63">
        <v>5000</v>
      </c>
      <c r="L6" s="61"/>
      <c r="M6" s="61"/>
    </row>
    <row r="7" spans="1:13" ht="15" thickBot="1" x14ac:dyDescent="0.25">
      <c r="A7" s="1" t="s">
        <v>14</v>
      </c>
      <c r="B7" s="168" t="s">
        <v>15</v>
      </c>
      <c r="C7" s="182">
        <v>800</v>
      </c>
      <c r="D7" s="183">
        <v>800</v>
      </c>
      <c r="E7" s="223"/>
      <c r="F7" s="207">
        <v>1000</v>
      </c>
      <c r="G7" s="125">
        <v>127.5</v>
      </c>
      <c r="H7" s="111">
        <f>F7-G7</f>
        <v>872.5</v>
      </c>
      <c r="I7" s="208">
        <v>1000</v>
      </c>
      <c r="J7" s="112"/>
      <c r="K7" s="159">
        <v>200</v>
      </c>
      <c r="L7" s="61"/>
      <c r="M7" s="61"/>
    </row>
    <row r="8" spans="1:13" s="106" customFormat="1" ht="16.5" thickTop="1" thickBot="1" x14ac:dyDescent="0.3">
      <c r="A8" s="12" t="s">
        <v>16</v>
      </c>
      <c r="B8" s="169"/>
      <c r="C8" s="184">
        <f t="shared" ref="C8:I8" si="0">SUM(C4:C7)</f>
        <v>745709.25</v>
      </c>
      <c r="D8" s="185">
        <f t="shared" si="0"/>
        <v>745709.25</v>
      </c>
      <c r="E8" s="194"/>
      <c r="F8" s="209">
        <f t="shared" si="0"/>
        <v>776023.84</v>
      </c>
      <c r="G8" s="13">
        <f t="shared" si="0"/>
        <v>693625.39</v>
      </c>
      <c r="H8" s="14">
        <f t="shared" si="0"/>
        <v>82398.45</v>
      </c>
      <c r="I8" s="210">
        <f t="shared" si="0"/>
        <v>776023.84</v>
      </c>
      <c r="J8" s="194"/>
      <c r="K8" s="82">
        <f>SUM(K4:K7)</f>
        <v>736846.17999999993</v>
      </c>
    </row>
    <row r="9" spans="1:13" ht="15.75" thickBot="1" x14ac:dyDescent="0.3">
      <c r="A9" s="7"/>
      <c r="B9" s="168"/>
      <c r="C9" s="186"/>
      <c r="D9" s="187"/>
      <c r="E9" s="224"/>
      <c r="F9" s="211"/>
      <c r="G9" s="16"/>
      <c r="H9" s="17"/>
      <c r="I9" s="212"/>
      <c r="J9" s="195"/>
      <c r="K9" s="63"/>
      <c r="L9" s="61"/>
      <c r="M9" s="61"/>
    </row>
    <row r="10" spans="1:13" ht="15" thickBot="1" x14ac:dyDescent="0.3">
      <c r="A10" s="19" t="s">
        <v>17</v>
      </c>
      <c r="B10" s="170" t="s">
        <v>18</v>
      </c>
      <c r="C10" s="180">
        <v>0</v>
      </c>
      <c r="D10" s="181">
        <v>0</v>
      </c>
      <c r="E10" s="131"/>
      <c r="F10" s="205">
        <v>0</v>
      </c>
      <c r="G10" s="10">
        <v>0</v>
      </c>
      <c r="H10" s="11">
        <v>0</v>
      </c>
      <c r="I10" s="206">
        <v>0</v>
      </c>
      <c r="J10" s="193"/>
      <c r="K10" s="63">
        <v>0</v>
      </c>
      <c r="L10" s="61"/>
      <c r="M10" s="61"/>
    </row>
    <row r="11" spans="1:13" ht="15" thickBot="1" x14ac:dyDescent="0.25">
      <c r="A11" s="19" t="s">
        <v>19</v>
      </c>
      <c r="B11" s="170" t="s">
        <v>20</v>
      </c>
      <c r="C11" s="180">
        <v>24500</v>
      </c>
      <c r="D11" s="181">
        <v>24500</v>
      </c>
      <c r="E11" s="131"/>
      <c r="F11" s="205">
        <v>25000</v>
      </c>
      <c r="G11" s="124">
        <v>20831.41</v>
      </c>
      <c r="H11" s="11">
        <f t="shared" ref="H11:H21" si="1">F11-G11</f>
        <v>4168.59</v>
      </c>
      <c r="I11" s="206">
        <v>30000</v>
      </c>
      <c r="J11" s="193"/>
      <c r="K11" s="81">
        <v>30000</v>
      </c>
      <c r="L11" s="61"/>
      <c r="M11" s="61"/>
    </row>
    <row r="12" spans="1:13" ht="15.75" thickBot="1" x14ac:dyDescent="0.25">
      <c r="A12" s="1" t="s">
        <v>218</v>
      </c>
      <c r="B12" s="168" t="s">
        <v>21</v>
      </c>
      <c r="C12" s="180">
        <f>68348+4200</f>
        <v>72548</v>
      </c>
      <c r="D12" s="181">
        <f>68348+4200</f>
        <v>72548</v>
      </c>
      <c r="E12" s="131"/>
      <c r="F12" s="205">
        <v>74000</v>
      </c>
      <c r="G12" s="124">
        <v>46097.88</v>
      </c>
      <c r="H12" s="11">
        <f t="shared" si="1"/>
        <v>27902.120000000003</v>
      </c>
      <c r="I12" s="206">
        <v>74000</v>
      </c>
      <c r="J12" s="193"/>
      <c r="K12" s="82">
        <v>89206</v>
      </c>
      <c r="L12" s="61"/>
      <c r="M12" s="61"/>
    </row>
    <row r="13" spans="1:13" s="121" customFormat="1" ht="15" thickBot="1" x14ac:dyDescent="0.25">
      <c r="A13" s="1" t="s">
        <v>217</v>
      </c>
      <c r="B13" s="168" t="s">
        <v>22</v>
      </c>
      <c r="C13" s="180">
        <v>880</v>
      </c>
      <c r="D13" s="181">
        <v>880</v>
      </c>
      <c r="E13" s="131"/>
      <c r="F13" s="205">
        <v>1000</v>
      </c>
      <c r="G13" s="126">
        <v>919.26</v>
      </c>
      <c r="H13" s="11">
        <f t="shared" si="1"/>
        <v>80.740000000000009</v>
      </c>
      <c r="I13" s="206">
        <v>1000</v>
      </c>
      <c r="J13" s="196"/>
      <c r="K13" s="120">
        <v>5000</v>
      </c>
    </row>
    <row r="14" spans="1:13" ht="15" thickBot="1" x14ac:dyDescent="0.25">
      <c r="A14" s="1" t="s">
        <v>216</v>
      </c>
      <c r="B14" s="168" t="s">
        <v>23</v>
      </c>
      <c r="C14" s="180">
        <v>500</v>
      </c>
      <c r="D14" s="181">
        <v>500</v>
      </c>
      <c r="E14" s="131"/>
      <c r="F14" s="205">
        <v>700</v>
      </c>
      <c r="G14" s="124">
        <v>299.63</v>
      </c>
      <c r="H14" s="11">
        <f t="shared" si="1"/>
        <v>400.37</v>
      </c>
      <c r="I14" s="206">
        <v>700</v>
      </c>
      <c r="J14" s="193"/>
      <c r="K14" s="63">
        <v>960</v>
      </c>
      <c r="L14" s="61"/>
      <c r="M14" s="61"/>
    </row>
    <row r="15" spans="1:13" ht="15" thickBot="1" x14ac:dyDescent="0.25">
      <c r="A15" s="1" t="s">
        <v>24</v>
      </c>
      <c r="B15" s="168" t="s">
        <v>25</v>
      </c>
      <c r="C15" s="180">
        <v>200</v>
      </c>
      <c r="D15" s="181">
        <v>200</v>
      </c>
      <c r="E15" s="131"/>
      <c r="F15" s="205">
        <v>110</v>
      </c>
      <c r="G15" s="124">
        <v>83.76</v>
      </c>
      <c r="H15" s="11">
        <f t="shared" si="1"/>
        <v>26.239999999999995</v>
      </c>
      <c r="I15" s="206">
        <v>110</v>
      </c>
      <c r="J15" s="193"/>
      <c r="K15" s="63">
        <v>100</v>
      </c>
      <c r="L15" s="61"/>
      <c r="M15" s="61"/>
    </row>
    <row r="16" spans="1:13" ht="15" thickBot="1" x14ac:dyDescent="0.25">
      <c r="A16" s="1" t="s">
        <v>26</v>
      </c>
      <c r="B16" s="168" t="s">
        <v>27</v>
      </c>
      <c r="C16" s="180">
        <v>300</v>
      </c>
      <c r="D16" s="181">
        <v>300</v>
      </c>
      <c r="E16" s="131"/>
      <c r="F16" s="205">
        <v>350</v>
      </c>
      <c r="G16" s="124">
        <v>1569.3</v>
      </c>
      <c r="H16" s="11">
        <f t="shared" si="1"/>
        <v>-1219.3</v>
      </c>
      <c r="I16" s="206">
        <v>350</v>
      </c>
      <c r="J16" s="193"/>
      <c r="K16" s="63">
        <v>1500</v>
      </c>
      <c r="L16" s="61"/>
      <c r="M16" s="61"/>
    </row>
    <row r="17" spans="1:13" ht="15" thickBot="1" x14ac:dyDescent="0.25">
      <c r="A17" s="1" t="s">
        <v>219</v>
      </c>
      <c r="B17" s="168" t="s">
        <v>28</v>
      </c>
      <c r="C17" s="180">
        <v>4800</v>
      </c>
      <c r="D17" s="181">
        <v>4800</v>
      </c>
      <c r="E17" s="131"/>
      <c r="F17" s="205">
        <v>4800</v>
      </c>
      <c r="G17" s="124">
        <v>2400</v>
      </c>
      <c r="H17" s="11">
        <f t="shared" si="1"/>
        <v>2400</v>
      </c>
      <c r="I17" s="206">
        <v>4800</v>
      </c>
      <c r="J17" s="193"/>
      <c r="K17" s="63">
        <v>4800</v>
      </c>
      <c r="L17" s="61"/>
      <c r="M17" s="61"/>
    </row>
    <row r="18" spans="1:13" s="121" customFormat="1" ht="15" thickBot="1" x14ac:dyDescent="0.25">
      <c r="A18" s="1" t="s">
        <v>224</v>
      </c>
      <c r="B18" s="168" t="s">
        <v>29</v>
      </c>
      <c r="C18" s="180">
        <v>1000</v>
      </c>
      <c r="D18" s="181">
        <v>1000</v>
      </c>
      <c r="E18" s="131"/>
      <c r="F18" s="205">
        <v>18500</v>
      </c>
      <c r="G18" s="126">
        <v>35340.589999999997</v>
      </c>
      <c r="H18" s="11">
        <f t="shared" si="1"/>
        <v>-16840.589999999997</v>
      </c>
      <c r="I18" s="206">
        <v>18500</v>
      </c>
      <c r="J18" s="196"/>
      <c r="K18" s="120">
        <f>35236-0.38</f>
        <v>35235.620000000003</v>
      </c>
    </row>
    <row r="19" spans="1:13" ht="15" thickBot="1" x14ac:dyDescent="0.25">
      <c r="A19" s="1" t="s">
        <v>30</v>
      </c>
      <c r="B19" s="168" t="s">
        <v>31</v>
      </c>
      <c r="C19" s="180">
        <v>16500</v>
      </c>
      <c r="D19" s="181">
        <v>16500</v>
      </c>
      <c r="E19" s="131"/>
      <c r="F19" s="205">
        <v>20000</v>
      </c>
      <c r="G19" s="124">
        <v>8306.9599999999991</v>
      </c>
      <c r="H19" s="11">
        <f t="shared" si="1"/>
        <v>11693.04</v>
      </c>
      <c r="I19" s="206">
        <v>20000</v>
      </c>
      <c r="J19" s="193"/>
      <c r="K19" s="63">
        <v>15000</v>
      </c>
    </row>
    <row r="20" spans="1:13" ht="15" thickBot="1" x14ac:dyDescent="0.25">
      <c r="A20" s="1" t="s">
        <v>32</v>
      </c>
      <c r="B20" s="168" t="s">
        <v>33</v>
      </c>
      <c r="C20" s="180">
        <v>1000</v>
      </c>
      <c r="D20" s="181">
        <v>1000</v>
      </c>
      <c r="E20" s="131"/>
      <c r="F20" s="205">
        <v>500</v>
      </c>
      <c r="G20" s="124">
        <v>0</v>
      </c>
      <c r="H20" s="11">
        <f t="shared" si="1"/>
        <v>500</v>
      </c>
      <c r="I20" s="206">
        <v>500</v>
      </c>
      <c r="J20" s="193"/>
      <c r="K20" s="63">
        <v>0</v>
      </c>
    </row>
    <row r="21" spans="1:13" ht="15" thickBot="1" x14ac:dyDescent="0.25">
      <c r="A21" s="1" t="s">
        <v>34</v>
      </c>
      <c r="B21" s="168" t="s">
        <v>35</v>
      </c>
      <c r="C21" s="180">
        <v>150</v>
      </c>
      <c r="D21" s="181">
        <v>150</v>
      </c>
      <c r="E21" s="131"/>
      <c r="F21" s="205">
        <v>50</v>
      </c>
      <c r="G21" s="124">
        <v>14.34</v>
      </c>
      <c r="H21" s="11">
        <f t="shared" si="1"/>
        <v>35.659999999999997</v>
      </c>
      <c r="I21" s="213">
        <v>50</v>
      </c>
      <c r="J21" s="193"/>
      <c r="K21" s="63">
        <v>0</v>
      </c>
    </row>
    <row r="22" spans="1:13" ht="15.75" thickBot="1" x14ac:dyDescent="0.3">
      <c r="A22" s="20" t="s">
        <v>36</v>
      </c>
      <c r="B22" s="86" t="s">
        <v>37</v>
      </c>
      <c r="C22" s="180">
        <v>255703</v>
      </c>
      <c r="D22" s="188">
        <v>576684</v>
      </c>
      <c r="E22" s="225"/>
      <c r="F22" s="205">
        <v>255703</v>
      </c>
      <c r="G22" s="10">
        <v>0</v>
      </c>
      <c r="H22" s="54">
        <f>F22</f>
        <v>255703</v>
      </c>
      <c r="I22" s="214">
        <v>473719</v>
      </c>
      <c r="J22" s="131"/>
      <c r="K22" s="63">
        <v>400000</v>
      </c>
    </row>
    <row r="23" spans="1:13" ht="15" thickBot="1" x14ac:dyDescent="0.3">
      <c r="A23" s="20" t="s">
        <v>38</v>
      </c>
      <c r="B23" s="168" t="s">
        <v>39</v>
      </c>
      <c r="C23" s="180">
        <v>150000</v>
      </c>
      <c r="D23" s="181">
        <v>150000</v>
      </c>
      <c r="E23" s="131"/>
      <c r="F23" s="215">
        <v>150000</v>
      </c>
      <c r="G23" s="10">
        <v>0</v>
      </c>
      <c r="H23" s="11">
        <f>I23</f>
        <v>150000</v>
      </c>
      <c r="I23" s="216">
        <v>150000</v>
      </c>
      <c r="J23" s="193"/>
      <c r="K23" s="63">
        <v>150000</v>
      </c>
    </row>
    <row r="24" spans="1:13" ht="15" thickBot="1" x14ac:dyDescent="0.3">
      <c r="A24" s="83" t="s">
        <v>40</v>
      </c>
      <c r="B24" s="171" t="s">
        <v>41</v>
      </c>
      <c r="C24" s="182">
        <v>109783</v>
      </c>
      <c r="D24" s="183">
        <v>0</v>
      </c>
      <c r="E24" s="226"/>
      <c r="F24" s="217">
        <v>0</v>
      </c>
      <c r="G24" s="110">
        <v>0</v>
      </c>
      <c r="H24" s="117">
        <v>0</v>
      </c>
      <c r="I24" s="208">
        <v>0</v>
      </c>
      <c r="J24" s="112"/>
      <c r="K24" s="85">
        <v>0</v>
      </c>
    </row>
    <row r="25" spans="1:13" s="106" customFormat="1" ht="16.5" thickTop="1" thickBot="1" x14ac:dyDescent="0.3">
      <c r="A25" s="56" t="s">
        <v>42</v>
      </c>
      <c r="B25" s="172"/>
      <c r="C25" s="189">
        <f t="shared" ref="C25:I25" si="2">SUM(C10:C24)</f>
        <v>637864</v>
      </c>
      <c r="D25" s="190">
        <f t="shared" si="2"/>
        <v>849062</v>
      </c>
      <c r="E25" s="69"/>
      <c r="F25" s="218">
        <f t="shared" si="2"/>
        <v>550713</v>
      </c>
      <c r="G25" s="42">
        <f t="shared" si="2"/>
        <v>115863.12999999998</v>
      </c>
      <c r="H25" s="113">
        <f t="shared" si="2"/>
        <v>434849.87</v>
      </c>
      <c r="I25" s="219">
        <f t="shared" si="2"/>
        <v>773729</v>
      </c>
      <c r="J25" s="197"/>
      <c r="K25" s="115">
        <f>SUM(K10:K24)</f>
        <v>731801.62</v>
      </c>
      <c r="L25" s="154"/>
      <c r="M25" s="155"/>
    </row>
    <row r="26" spans="1:13" s="106" customFormat="1" ht="16.5" thickTop="1" thickBot="1" x14ac:dyDescent="0.3">
      <c r="A26" s="21" t="s">
        <v>43</v>
      </c>
      <c r="B26" s="173"/>
      <c r="C26" s="184">
        <f>SUM(C8:C24)</f>
        <v>1383573.25</v>
      </c>
      <c r="D26" s="185">
        <f>D8+D25</f>
        <v>1594771.25</v>
      </c>
      <c r="E26" s="194"/>
      <c r="F26" s="209">
        <f>F25+F8</f>
        <v>1326736.8399999999</v>
      </c>
      <c r="G26" s="13">
        <f>G8+G25</f>
        <v>809488.52</v>
      </c>
      <c r="H26" s="14">
        <f>H8+H25</f>
        <v>517248.32</v>
      </c>
      <c r="I26" s="220">
        <f>I8+I25</f>
        <v>1549752.8399999999</v>
      </c>
      <c r="J26" s="198"/>
      <c r="K26" s="109">
        <f>K25+K8</f>
        <v>1468647.7999999998</v>
      </c>
      <c r="L26" s="154"/>
      <c r="M26" s="155"/>
    </row>
    <row r="27" spans="1:13" ht="15" thickBot="1" x14ac:dyDescent="0.25">
      <c r="D27" s="156">
        <f>D26-C26</f>
        <v>211198</v>
      </c>
      <c r="E27" s="156"/>
      <c r="I27" s="157">
        <f>I26-F26</f>
        <v>223016</v>
      </c>
    </row>
    <row r="28" spans="1:13" ht="15.75" thickBot="1" x14ac:dyDescent="0.25">
      <c r="A28" s="7" t="s">
        <v>212</v>
      </c>
      <c r="B28" s="123"/>
      <c r="C28" s="3"/>
      <c r="D28" s="3"/>
      <c r="E28" s="75"/>
      <c r="F28" s="4"/>
      <c r="G28" s="3"/>
      <c r="H28" s="51"/>
      <c r="I28" s="142"/>
      <c r="J28" s="6"/>
      <c r="K28" s="63"/>
    </row>
    <row r="29" spans="1:13" ht="15" thickBot="1" x14ac:dyDescent="0.25">
      <c r="A29" s="1" t="s">
        <v>44</v>
      </c>
      <c r="B29" s="62" t="s">
        <v>45</v>
      </c>
      <c r="C29" s="10">
        <v>84341.25</v>
      </c>
      <c r="D29" s="10">
        <v>84341.25</v>
      </c>
      <c r="E29" s="9"/>
      <c r="F29" s="11">
        <v>87717.759999999995</v>
      </c>
      <c r="G29" s="124">
        <v>43858.879999999997</v>
      </c>
      <c r="H29" s="11">
        <f t="shared" ref="H29:H36" si="3">F29-G29</f>
        <v>43858.879999999997</v>
      </c>
      <c r="I29" s="135">
        <v>87717.759999999995</v>
      </c>
      <c r="J29" s="9"/>
      <c r="K29" s="63">
        <v>90349.29</v>
      </c>
    </row>
    <row r="30" spans="1:13" ht="15" thickBot="1" x14ac:dyDescent="0.25">
      <c r="A30" s="1" t="s">
        <v>46</v>
      </c>
      <c r="B30" s="62" t="s">
        <v>47</v>
      </c>
      <c r="C30" s="10">
        <f>15*2080</f>
        <v>31200</v>
      </c>
      <c r="D30" s="10">
        <f>15*2080</f>
        <v>31200</v>
      </c>
      <c r="E30" s="9"/>
      <c r="F30" s="11">
        <v>32448</v>
      </c>
      <c r="G30" s="124">
        <v>16224</v>
      </c>
      <c r="H30" s="11">
        <f t="shared" si="3"/>
        <v>16224</v>
      </c>
      <c r="I30" s="135">
        <v>32448</v>
      </c>
      <c r="J30" s="9"/>
      <c r="K30" s="63">
        <v>33421.440000000002</v>
      </c>
    </row>
    <row r="31" spans="1:13" ht="15" thickBot="1" x14ac:dyDescent="0.25">
      <c r="A31" s="1" t="s">
        <v>48</v>
      </c>
      <c r="B31" s="62" t="s">
        <v>49</v>
      </c>
      <c r="C31" s="10">
        <v>1000</v>
      </c>
      <c r="D31" s="10">
        <v>1000</v>
      </c>
      <c r="E31" s="9"/>
      <c r="F31" s="11">
        <v>1000</v>
      </c>
      <c r="G31" s="124">
        <v>0</v>
      </c>
      <c r="H31" s="11">
        <f t="shared" si="3"/>
        <v>1000</v>
      </c>
      <c r="I31" s="135">
        <v>1000</v>
      </c>
      <c r="J31" s="9"/>
      <c r="K31" s="63">
        <v>1000</v>
      </c>
    </row>
    <row r="32" spans="1:13" ht="15" thickBot="1" x14ac:dyDescent="0.25">
      <c r="A32" s="1" t="s">
        <v>229</v>
      </c>
      <c r="B32" s="62" t="s">
        <v>50</v>
      </c>
      <c r="C32" s="10">
        <f>(C29+C30+C31)*7.65%</f>
        <v>8915.4056249999994</v>
      </c>
      <c r="D32" s="10">
        <f>(D29+D30+D31)*7.65%</f>
        <v>8915.4056249999994</v>
      </c>
      <c r="E32" s="9"/>
      <c r="F32" s="11">
        <v>9269.18</v>
      </c>
      <c r="G32" s="124">
        <v>4860.75</v>
      </c>
      <c r="H32" s="11">
        <f t="shared" si="3"/>
        <v>4408.43</v>
      </c>
      <c r="I32" s="135">
        <v>9269.18</v>
      </c>
      <c r="J32" s="9"/>
      <c r="K32" s="63">
        <v>9544.9599999999991</v>
      </c>
    </row>
    <row r="33" spans="1:13" ht="15" thickBot="1" x14ac:dyDescent="0.25">
      <c r="A33" s="1" t="s">
        <v>207</v>
      </c>
      <c r="B33" s="62" t="s">
        <v>51</v>
      </c>
      <c r="C33" s="10">
        <f>(C29*12.99%)+(C30*7.22%)+(C31*7.22%)</f>
        <v>13280.768375000001</v>
      </c>
      <c r="D33" s="10">
        <f>(D29*12.99%)+(D30*7.22%)+(D31*7.22%)</f>
        <v>13280.768375000001</v>
      </c>
      <c r="E33" s="9"/>
      <c r="F33" s="11">
        <v>13909.83</v>
      </c>
      <c r="G33" s="124">
        <v>8232.9699999999993</v>
      </c>
      <c r="H33" s="11">
        <f t="shared" si="3"/>
        <v>5676.8600000000006</v>
      </c>
      <c r="I33" s="135">
        <v>13909.83</v>
      </c>
      <c r="J33" s="9"/>
      <c r="K33" s="63">
        <v>20506.5</v>
      </c>
    </row>
    <row r="34" spans="1:13" ht="15" thickBot="1" x14ac:dyDescent="0.25">
      <c r="A34" s="1" t="s">
        <v>52</v>
      </c>
      <c r="B34" s="62" t="s">
        <v>53</v>
      </c>
      <c r="C34" s="10">
        <f>7740.18*2</f>
        <v>15480.36</v>
      </c>
      <c r="D34" s="10">
        <f>7740.18*2</f>
        <v>15480.36</v>
      </c>
      <c r="E34" s="9"/>
      <c r="F34" s="11">
        <f>7905.74*2</f>
        <v>15811.48</v>
      </c>
      <c r="G34" s="124">
        <v>7529.28</v>
      </c>
      <c r="H34" s="11">
        <f t="shared" si="3"/>
        <v>8282.2000000000007</v>
      </c>
      <c r="I34" s="135">
        <f>7905.74*2</f>
        <v>15811.48</v>
      </c>
      <c r="J34" s="9"/>
      <c r="K34" s="63">
        <v>15585.61</v>
      </c>
    </row>
    <row r="35" spans="1:13" ht="15" thickBot="1" x14ac:dyDescent="0.25">
      <c r="A35" s="1" t="s">
        <v>226</v>
      </c>
      <c r="B35" s="62" t="s">
        <v>54</v>
      </c>
      <c r="C35" s="10">
        <f>137.4*2</f>
        <v>274.8</v>
      </c>
      <c r="D35" s="10">
        <f>137.4*2</f>
        <v>274.8</v>
      </c>
      <c r="E35" s="9"/>
      <c r="F35" s="11">
        <f>137.4*2</f>
        <v>274.8</v>
      </c>
      <c r="G35" s="124">
        <v>247.5</v>
      </c>
      <c r="H35" s="11">
        <f t="shared" si="3"/>
        <v>27.300000000000011</v>
      </c>
      <c r="I35" s="135">
        <f>137.4*2</f>
        <v>274.8</v>
      </c>
      <c r="J35" s="9"/>
      <c r="K35" s="63">
        <v>284.42</v>
      </c>
    </row>
    <row r="36" spans="1:13" ht="15" thickBot="1" x14ac:dyDescent="0.25">
      <c r="A36" s="1" t="s">
        <v>221</v>
      </c>
      <c r="B36" s="62" t="s">
        <v>55</v>
      </c>
      <c r="C36" s="110">
        <v>1820.7</v>
      </c>
      <c r="D36" s="110">
        <v>1820.7</v>
      </c>
      <c r="E36" s="116"/>
      <c r="F36" s="111">
        <v>2050</v>
      </c>
      <c r="G36" s="125">
        <v>0</v>
      </c>
      <c r="H36" s="111">
        <f t="shared" si="3"/>
        <v>2050</v>
      </c>
      <c r="I36" s="136">
        <v>2050</v>
      </c>
      <c r="J36" s="116"/>
      <c r="K36" s="85">
        <v>2533.44</v>
      </c>
    </row>
    <row r="37" spans="1:13" s="106" customFormat="1" ht="16.5" thickTop="1" thickBot="1" x14ac:dyDescent="0.3">
      <c r="A37" s="7" t="s">
        <v>215</v>
      </c>
      <c r="B37" s="118"/>
      <c r="C37" s="22">
        <f t="shared" ref="C37:I37" si="4">SUM(C29:C36)</f>
        <v>156313.28399999999</v>
      </c>
      <c r="D37" s="22">
        <f t="shared" si="4"/>
        <v>156313.28399999999</v>
      </c>
      <c r="E37" s="24"/>
      <c r="F37" s="23">
        <f t="shared" si="4"/>
        <v>162481.04999999999</v>
      </c>
      <c r="G37" s="22">
        <f t="shared" si="4"/>
        <v>80953.37999999999</v>
      </c>
      <c r="H37" s="23">
        <f t="shared" si="4"/>
        <v>81527.67</v>
      </c>
      <c r="I37" s="143">
        <f t="shared" si="4"/>
        <v>162481.04999999999</v>
      </c>
      <c r="J37" s="24"/>
      <c r="K37" s="109">
        <f>SUM(K29:K36)</f>
        <v>173225.66</v>
      </c>
      <c r="L37" s="154"/>
      <c r="M37" s="155"/>
    </row>
    <row r="38" spans="1:13" ht="15" thickBot="1" x14ac:dyDescent="0.3">
      <c r="A38" s="1"/>
      <c r="B38" s="62"/>
      <c r="C38" s="10"/>
      <c r="D38" s="10"/>
      <c r="E38" s="9"/>
      <c r="F38" s="11"/>
      <c r="G38" s="10"/>
      <c r="H38" s="11"/>
      <c r="I38" s="135"/>
      <c r="J38" s="9"/>
      <c r="K38" s="63"/>
    </row>
    <row r="39" spans="1:13" ht="15" thickBot="1" x14ac:dyDescent="0.25">
      <c r="A39" s="1" t="s">
        <v>56</v>
      </c>
      <c r="B39" s="62" t="s">
        <v>57</v>
      </c>
      <c r="C39" s="10">
        <v>35000</v>
      </c>
      <c r="D39" s="10">
        <v>35000</v>
      </c>
      <c r="E39" s="9"/>
      <c r="F39" s="11">
        <v>35000</v>
      </c>
      <c r="G39" s="124">
        <v>5748</v>
      </c>
      <c r="H39" s="57">
        <f t="shared" ref="H39:H54" si="5">F39-G39</f>
        <v>29252</v>
      </c>
      <c r="I39" s="135">
        <v>35000</v>
      </c>
      <c r="J39" s="9"/>
      <c r="K39" s="63">
        <v>35000</v>
      </c>
    </row>
    <row r="40" spans="1:13" ht="15" thickBot="1" x14ac:dyDescent="0.25">
      <c r="A40" s="20" t="s">
        <v>58</v>
      </c>
      <c r="B40" s="86" t="s">
        <v>59</v>
      </c>
      <c r="C40" s="25">
        <v>4380</v>
      </c>
      <c r="D40" s="25">
        <v>4380</v>
      </c>
      <c r="E40" s="27"/>
      <c r="F40" s="26">
        <v>4650</v>
      </c>
      <c r="G40" s="124">
        <v>1800</v>
      </c>
      <c r="H40" s="57">
        <f t="shared" si="5"/>
        <v>2850</v>
      </c>
      <c r="I40" s="139">
        <v>4650</v>
      </c>
      <c r="J40" s="27"/>
      <c r="K40" s="63">
        <v>4700</v>
      </c>
    </row>
    <row r="41" spans="1:13" ht="15" thickBot="1" x14ac:dyDescent="0.25">
      <c r="A41" s="1" t="s">
        <v>60</v>
      </c>
      <c r="B41" s="62" t="s">
        <v>61</v>
      </c>
      <c r="C41" s="10">
        <v>14000</v>
      </c>
      <c r="D41" s="10">
        <v>14000</v>
      </c>
      <c r="E41" s="9"/>
      <c r="F41" s="11">
        <v>14000</v>
      </c>
      <c r="G41" s="124">
        <v>6012.5</v>
      </c>
      <c r="H41" s="57">
        <f t="shared" si="5"/>
        <v>7987.5</v>
      </c>
      <c r="I41" s="135">
        <v>14000</v>
      </c>
      <c r="J41" s="9"/>
      <c r="K41" s="63">
        <v>14000</v>
      </c>
    </row>
    <row r="42" spans="1:13" ht="15" thickBot="1" x14ac:dyDescent="0.25">
      <c r="A42" s="1" t="s">
        <v>62</v>
      </c>
      <c r="B42" s="62" t="s">
        <v>63</v>
      </c>
      <c r="C42" s="10">
        <v>25000</v>
      </c>
      <c r="D42" s="10">
        <v>25000</v>
      </c>
      <c r="E42" s="9"/>
      <c r="F42" s="11">
        <v>28500</v>
      </c>
      <c r="G42" s="128">
        <v>21000</v>
      </c>
      <c r="H42" s="57">
        <f t="shared" si="5"/>
        <v>7500</v>
      </c>
      <c r="I42" s="135">
        <v>28500</v>
      </c>
      <c r="J42" s="9"/>
      <c r="K42" s="63">
        <v>28500</v>
      </c>
    </row>
    <row r="43" spans="1:13" ht="15" thickBot="1" x14ac:dyDescent="0.25">
      <c r="A43" s="1" t="s">
        <v>64</v>
      </c>
      <c r="B43" s="62" t="s">
        <v>65</v>
      </c>
      <c r="C43" s="10">
        <v>15000</v>
      </c>
      <c r="D43" s="10">
        <v>15000</v>
      </c>
      <c r="E43" s="9"/>
      <c r="F43" s="11">
        <v>15750</v>
      </c>
      <c r="G43" s="124">
        <v>14708.76</v>
      </c>
      <c r="H43" s="57">
        <f t="shared" si="5"/>
        <v>1041.2399999999998</v>
      </c>
      <c r="I43" s="135">
        <v>15750</v>
      </c>
      <c r="J43" s="9"/>
      <c r="K43" s="63">
        <v>16000</v>
      </c>
    </row>
    <row r="44" spans="1:13" ht="15" thickBot="1" x14ac:dyDescent="0.25">
      <c r="A44" s="1" t="s">
        <v>223</v>
      </c>
      <c r="B44" s="62" t="s">
        <v>66</v>
      </c>
      <c r="C44" s="10">
        <v>5000</v>
      </c>
      <c r="D44" s="10">
        <v>5000</v>
      </c>
      <c r="E44" s="9"/>
      <c r="F44" s="11">
        <v>5200</v>
      </c>
      <c r="G44" s="128">
        <v>29537.18</v>
      </c>
      <c r="H44" s="57">
        <f t="shared" si="5"/>
        <v>-24337.18</v>
      </c>
      <c r="I44" s="135">
        <v>5200</v>
      </c>
      <c r="J44" s="9"/>
      <c r="K44" s="63">
        <v>31200</v>
      </c>
    </row>
    <row r="45" spans="1:13" ht="15" thickBot="1" x14ac:dyDescent="0.25">
      <c r="A45" s="1" t="s">
        <v>67</v>
      </c>
      <c r="B45" s="62" t="s">
        <v>68</v>
      </c>
      <c r="C45" s="10">
        <v>1800</v>
      </c>
      <c r="D45" s="10">
        <v>1800</v>
      </c>
      <c r="E45" s="9"/>
      <c r="F45" s="11">
        <v>1800</v>
      </c>
      <c r="G45" s="124">
        <v>0</v>
      </c>
      <c r="H45" s="58">
        <f t="shared" si="5"/>
        <v>1800</v>
      </c>
      <c r="I45" s="135">
        <v>1800</v>
      </c>
      <c r="J45" s="9"/>
      <c r="K45" s="63">
        <v>1200</v>
      </c>
    </row>
    <row r="46" spans="1:13" ht="15" thickBot="1" x14ac:dyDescent="0.25">
      <c r="A46" s="1" t="s">
        <v>69</v>
      </c>
      <c r="B46" s="62" t="s">
        <v>70</v>
      </c>
      <c r="C46" s="10">
        <v>2000</v>
      </c>
      <c r="D46" s="10">
        <v>2000</v>
      </c>
      <c r="E46" s="9"/>
      <c r="F46" s="11">
        <v>2000</v>
      </c>
      <c r="G46" s="124">
        <v>909.71</v>
      </c>
      <c r="H46" s="11">
        <f t="shared" si="5"/>
        <v>1090.29</v>
      </c>
      <c r="I46" s="135">
        <v>2000</v>
      </c>
      <c r="J46" s="9"/>
      <c r="K46" s="63">
        <v>3120</v>
      </c>
    </row>
    <row r="47" spans="1:13" ht="15" thickBot="1" x14ac:dyDescent="0.25">
      <c r="A47" s="1" t="s">
        <v>71</v>
      </c>
      <c r="B47" s="62" t="s">
        <v>72</v>
      </c>
      <c r="C47" s="10">
        <v>400</v>
      </c>
      <c r="D47" s="10">
        <v>400</v>
      </c>
      <c r="E47" s="9"/>
      <c r="F47" s="11">
        <v>375</v>
      </c>
      <c r="G47" s="124">
        <v>98</v>
      </c>
      <c r="H47" s="11">
        <f t="shared" si="5"/>
        <v>277</v>
      </c>
      <c r="I47" s="135">
        <v>375</v>
      </c>
      <c r="J47" s="9"/>
      <c r="K47" s="63">
        <v>375</v>
      </c>
    </row>
    <row r="48" spans="1:13" ht="15" thickBot="1" x14ac:dyDescent="0.25">
      <c r="A48" s="1" t="s">
        <v>73</v>
      </c>
      <c r="B48" s="62" t="s">
        <v>74</v>
      </c>
      <c r="C48" s="10">
        <v>1250</v>
      </c>
      <c r="D48" s="10">
        <v>1250</v>
      </c>
      <c r="E48" s="9"/>
      <c r="F48" s="11">
        <v>1500</v>
      </c>
      <c r="G48" s="124">
        <v>599.36</v>
      </c>
      <c r="H48" s="11">
        <f t="shared" si="5"/>
        <v>900.64</v>
      </c>
      <c r="I48" s="135">
        <v>1500</v>
      </c>
      <c r="J48" s="9"/>
      <c r="K48" s="63">
        <v>1500</v>
      </c>
    </row>
    <row r="49" spans="1:13" ht="15" thickBot="1" x14ac:dyDescent="0.25">
      <c r="A49" s="1" t="s">
        <v>75</v>
      </c>
      <c r="B49" s="62" t="s">
        <v>76</v>
      </c>
      <c r="C49" s="10">
        <v>1200</v>
      </c>
      <c r="D49" s="10">
        <v>1200</v>
      </c>
      <c r="E49" s="9"/>
      <c r="F49" s="11">
        <v>1000</v>
      </c>
      <c r="G49" s="124">
        <v>0</v>
      </c>
      <c r="H49" s="11">
        <f t="shared" si="5"/>
        <v>1000</v>
      </c>
      <c r="I49" s="135">
        <v>1000</v>
      </c>
      <c r="J49" s="9"/>
      <c r="K49" s="63">
        <v>1000</v>
      </c>
    </row>
    <row r="50" spans="1:13" ht="15" thickBot="1" x14ac:dyDescent="0.25">
      <c r="A50" s="1" t="s">
        <v>77</v>
      </c>
      <c r="B50" s="62" t="s">
        <v>78</v>
      </c>
      <c r="C50" s="10">
        <v>8250</v>
      </c>
      <c r="D50" s="10">
        <v>8250</v>
      </c>
      <c r="E50" s="9"/>
      <c r="F50" s="11">
        <v>8250</v>
      </c>
      <c r="G50" s="124">
        <v>3653.68</v>
      </c>
      <c r="H50" s="11">
        <f t="shared" si="5"/>
        <v>4596.32</v>
      </c>
      <c r="I50" s="135">
        <v>8250</v>
      </c>
      <c r="J50" s="9"/>
      <c r="K50" s="63">
        <v>7239</v>
      </c>
    </row>
    <row r="51" spans="1:13" ht="15" thickBot="1" x14ac:dyDescent="0.25">
      <c r="A51" s="1" t="s">
        <v>79</v>
      </c>
      <c r="B51" s="62" t="s">
        <v>80</v>
      </c>
      <c r="C51" s="10">
        <v>4000</v>
      </c>
      <c r="D51" s="10">
        <v>4000</v>
      </c>
      <c r="E51" s="9"/>
      <c r="F51" s="11">
        <v>4000</v>
      </c>
      <c r="G51" s="124">
        <v>2637.41</v>
      </c>
      <c r="H51" s="11">
        <f t="shared" si="5"/>
        <v>1362.5900000000001</v>
      </c>
      <c r="I51" s="135">
        <v>4000</v>
      </c>
      <c r="J51" s="9"/>
      <c r="K51" s="63">
        <v>4000</v>
      </c>
    </row>
    <row r="52" spans="1:13" ht="15" thickBot="1" x14ac:dyDescent="0.25">
      <c r="A52" s="1" t="s">
        <v>81</v>
      </c>
      <c r="B52" s="62" t="s">
        <v>82</v>
      </c>
      <c r="C52" s="10">
        <v>4000</v>
      </c>
      <c r="D52" s="10">
        <v>4000</v>
      </c>
      <c r="E52" s="9"/>
      <c r="F52" s="11">
        <v>4199.8900000000003</v>
      </c>
      <c r="G52" s="124">
        <v>775.87</v>
      </c>
      <c r="H52" s="11">
        <f t="shared" si="5"/>
        <v>3424.0200000000004</v>
      </c>
      <c r="I52" s="135">
        <v>4199.8900000000003</v>
      </c>
      <c r="J52" s="9"/>
      <c r="K52" s="63">
        <v>4000</v>
      </c>
    </row>
    <row r="53" spans="1:13" ht="15" thickBot="1" x14ac:dyDescent="0.25">
      <c r="A53" s="1" t="s">
        <v>83</v>
      </c>
      <c r="B53" s="62" t="s">
        <v>84</v>
      </c>
      <c r="C53" s="10">
        <v>550</v>
      </c>
      <c r="D53" s="10">
        <v>550</v>
      </c>
      <c r="E53" s="9"/>
      <c r="F53" s="11">
        <v>1575</v>
      </c>
      <c r="G53" s="124">
        <v>148.65</v>
      </c>
      <c r="H53" s="11">
        <f t="shared" si="5"/>
        <v>1426.35</v>
      </c>
      <c r="I53" s="135">
        <v>1575</v>
      </c>
      <c r="J53" s="9"/>
      <c r="K53" s="63">
        <v>1500</v>
      </c>
    </row>
    <row r="54" spans="1:13" ht="15" thickBot="1" x14ac:dyDescent="0.25">
      <c r="A54" s="20" t="s">
        <v>85</v>
      </c>
      <c r="B54" s="79" t="s">
        <v>86</v>
      </c>
      <c r="C54" s="110">
        <v>2500</v>
      </c>
      <c r="D54" s="110">
        <v>2500</v>
      </c>
      <c r="E54" s="116"/>
      <c r="F54" s="111">
        <v>2500</v>
      </c>
      <c r="G54" s="125">
        <v>0</v>
      </c>
      <c r="H54" s="111">
        <f t="shared" si="5"/>
        <v>2500</v>
      </c>
      <c r="I54" s="136">
        <v>2500</v>
      </c>
      <c r="J54" s="116"/>
      <c r="K54" s="85">
        <v>1000</v>
      </c>
    </row>
    <row r="55" spans="1:13" s="106" customFormat="1" ht="16.5" thickTop="1" thickBot="1" x14ac:dyDescent="0.3">
      <c r="A55" s="7" t="s">
        <v>87</v>
      </c>
      <c r="B55" s="78"/>
      <c r="C55" s="22">
        <f>SUM(C37:C54)</f>
        <v>280643.28399999999</v>
      </c>
      <c r="D55" s="22">
        <f>SUM(D37:D54)</f>
        <v>280643.28399999999</v>
      </c>
      <c r="E55" s="24"/>
      <c r="F55" s="23">
        <f>SUM(F37:F54)</f>
        <v>292780.94</v>
      </c>
      <c r="G55" s="22">
        <f>SUM(G39:G54)</f>
        <v>87629.119999999995</v>
      </c>
      <c r="H55" s="23">
        <f>SUM(H37:H54)</f>
        <v>124198.44000000002</v>
      </c>
      <c r="I55" s="143">
        <f>SUM(I37:I54)</f>
        <v>292780.94</v>
      </c>
      <c r="J55" s="55"/>
      <c r="K55" s="109">
        <f>SUM(K37:K54)</f>
        <v>327559.66000000003</v>
      </c>
      <c r="L55" s="154"/>
      <c r="M55" s="155"/>
    </row>
    <row r="56" spans="1:13" ht="15" x14ac:dyDescent="0.25">
      <c r="A56" s="28"/>
      <c r="B56" s="87"/>
      <c r="C56" s="29"/>
      <c r="D56" s="29"/>
      <c r="E56" s="29"/>
      <c r="F56" s="30"/>
      <c r="G56" s="29"/>
      <c r="H56" s="30"/>
      <c r="I56" s="144"/>
      <c r="J56" s="29"/>
      <c r="K56" s="49"/>
    </row>
    <row r="57" spans="1:13" ht="15.75" thickBot="1" x14ac:dyDescent="0.3">
      <c r="A57" s="71" t="s">
        <v>213</v>
      </c>
      <c r="B57" s="76"/>
      <c r="C57" s="2"/>
      <c r="D57" s="2"/>
      <c r="E57" s="2"/>
      <c r="F57" s="2"/>
      <c r="G57" s="2"/>
      <c r="H57" s="8"/>
      <c r="I57" s="132"/>
      <c r="J57" s="72"/>
      <c r="K57" s="88"/>
    </row>
    <row r="58" spans="1:13" ht="15" thickBot="1" x14ac:dyDescent="0.25">
      <c r="A58" s="31" t="s">
        <v>228</v>
      </c>
      <c r="B58" s="89" t="s">
        <v>88</v>
      </c>
      <c r="C58" s="10">
        <v>99560</v>
      </c>
      <c r="D58" s="10">
        <v>99560</v>
      </c>
      <c r="E58" s="9"/>
      <c r="F58" s="11">
        <v>110000</v>
      </c>
      <c r="G58" s="124">
        <v>59795.51</v>
      </c>
      <c r="H58" s="11">
        <f>F58-G58</f>
        <v>50204.49</v>
      </c>
      <c r="I58" s="135">
        <v>110000</v>
      </c>
      <c r="J58" s="9"/>
      <c r="K58" s="90">
        <v>120000</v>
      </c>
    </row>
    <row r="59" spans="1:13" ht="15" thickBot="1" x14ac:dyDescent="0.25">
      <c r="A59" s="1" t="s">
        <v>89</v>
      </c>
      <c r="B59" s="91" t="s">
        <v>90</v>
      </c>
      <c r="C59" s="10">
        <v>5000</v>
      </c>
      <c r="D59" s="10">
        <v>5000</v>
      </c>
      <c r="E59" s="9"/>
      <c r="F59" s="11">
        <v>5000</v>
      </c>
      <c r="G59" s="124">
        <v>0</v>
      </c>
      <c r="H59" s="11">
        <v>5000</v>
      </c>
      <c r="I59" s="135">
        <v>5000</v>
      </c>
      <c r="J59" s="9"/>
      <c r="K59" s="92">
        <v>5000</v>
      </c>
    </row>
    <row r="60" spans="1:13" ht="15" thickBot="1" x14ac:dyDescent="0.25">
      <c r="A60" s="37" t="s">
        <v>91</v>
      </c>
      <c r="B60" s="93" t="s">
        <v>92</v>
      </c>
      <c r="C60" s="10">
        <f>153274.16*51%</f>
        <v>78169.82160000001</v>
      </c>
      <c r="D60" s="10">
        <f>153274.16*51%</f>
        <v>78169.82160000001</v>
      </c>
      <c r="E60" s="9"/>
      <c r="F60" s="11">
        <v>81130.63</v>
      </c>
      <c r="G60" s="124">
        <v>35673.980000000003</v>
      </c>
      <c r="H60" s="11">
        <f t="shared" ref="H60:H80" si="6">F60-G60</f>
        <v>45456.65</v>
      </c>
      <c r="I60" s="135">
        <v>81130.63</v>
      </c>
      <c r="J60" s="9"/>
      <c r="K60" s="63">
        <v>82012.36</v>
      </c>
    </row>
    <row r="61" spans="1:13" ht="15" thickBot="1" x14ac:dyDescent="0.25">
      <c r="A61" s="37" t="s">
        <v>93</v>
      </c>
      <c r="B61" s="93" t="s">
        <v>94</v>
      </c>
      <c r="C61" s="33">
        <f>153274.16*43%</f>
        <v>65907.888800000001</v>
      </c>
      <c r="D61" s="33">
        <f>153274.16*43%</f>
        <v>65907.888800000001</v>
      </c>
      <c r="E61" s="35"/>
      <c r="F61" s="34">
        <v>68404.25</v>
      </c>
      <c r="G61" s="124">
        <v>30078.080000000002</v>
      </c>
      <c r="H61" s="59">
        <f t="shared" si="6"/>
        <v>38326.17</v>
      </c>
      <c r="I61" s="141">
        <v>68404.25</v>
      </c>
      <c r="J61" s="35"/>
      <c r="K61" s="63">
        <v>69147.67</v>
      </c>
    </row>
    <row r="62" spans="1:13" ht="15" thickBot="1" x14ac:dyDescent="0.25">
      <c r="A62" s="37" t="s">
        <v>95</v>
      </c>
      <c r="B62" s="93" t="s">
        <v>96</v>
      </c>
      <c r="C62" s="10">
        <f>153274.16*6%</f>
        <v>9196.4495999999999</v>
      </c>
      <c r="D62" s="10">
        <f>153274.16*6%</f>
        <v>9196.4495999999999</v>
      </c>
      <c r="E62" s="9"/>
      <c r="F62" s="11">
        <v>9544.7800000000007</v>
      </c>
      <c r="G62" s="124">
        <v>4196.91</v>
      </c>
      <c r="H62" s="11">
        <f t="shared" si="6"/>
        <v>5347.8700000000008</v>
      </c>
      <c r="I62" s="135">
        <v>9544.7800000000007</v>
      </c>
      <c r="J62" s="9"/>
      <c r="K62" s="63">
        <v>9648.51</v>
      </c>
    </row>
    <row r="63" spans="1:13" ht="15" thickBot="1" x14ac:dyDescent="0.25">
      <c r="A63" s="32" t="s">
        <v>97</v>
      </c>
      <c r="B63" s="94" t="s">
        <v>98</v>
      </c>
      <c r="C63" s="33">
        <v>12750</v>
      </c>
      <c r="D63" s="33">
        <v>12750</v>
      </c>
      <c r="E63" s="35"/>
      <c r="F63" s="34">
        <v>12750</v>
      </c>
      <c r="G63" s="124">
        <v>7475.78</v>
      </c>
      <c r="H63" s="11">
        <f t="shared" si="6"/>
        <v>5274.22</v>
      </c>
      <c r="I63" s="141">
        <v>12750</v>
      </c>
      <c r="J63" s="35"/>
      <c r="K63" s="63">
        <v>12750</v>
      </c>
    </row>
    <row r="64" spans="1:13" ht="15" thickBot="1" x14ac:dyDescent="0.25">
      <c r="A64" s="36" t="s">
        <v>99</v>
      </c>
      <c r="B64" s="95" t="s">
        <v>100</v>
      </c>
      <c r="C64" s="10">
        <v>10750</v>
      </c>
      <c r="D64" s="10">
        <v>10750</v>
      </c>
      <c r="E64" s="9"/>
      <c r="F64" s="11">
        <v>10750</v>
      </c>
      <c r="G64" s="124">
        <v>6303.11</v>
      </c>
      <c r="H64" s="11">
        <f t="shared" si="6"/>
        <v>4446.8900000000003</v>
      </c>
      <c r="I64" s="135">
        <v>10750</v>
      </c>
      <c r="J64" s="9"/>
      <c r="K64" s="63">
        <v>10750</v>
      </c>
    </row>
    <row r="65" spans="1:13" ht="15" thickBot="1" x14ac:dyDescent="0.25">
      <c r="A65" s="36" t="s">
        <v>101</v>
      </c>
      <c r="B65" s="93" t="s">
        <v>102</v>
      </c>
      <c r="C65" s="10">
        <v>1500</v>
      </c>
      <c r="D65" s="10">
        <v>1500</v>
      </c>
      <c r="E65" s="9"/>
      <c r="F65" s="11">
        <v>1500</v>
      </c>
      <c r="G65" s="124">
        <v>879.5</v>
      </c>
      <c r="H65" s="11">
        <f t="shared" si="6"/>
        <v>620.5</v>
      </c>
      <c r="I65" s="135">
        <v>1500</v>
      </c>
      <c r="J65" s="9"/>
      <c r="K65" s="63">
        <v>1500</v>
      </c>
      <c r="L65" s="61"/>
      <c r="M65" s="61"/>
    </row>
    <row r="66" spans="1:13" ht="15" thickBot="1" x14ac:dyDescent="0.25">
      <c r="A66" s="36" t="s">
        <v>103</v>
      </c>
      <c r="B66" s="96" t="s">
        <v>104</v>
      </c>
      <c r="C66" s="10">
        <f>13855.83*51%</f>
        <v>7066.4732999999997</v>
      </c>
      <c r="D66" s="10">
        <f>13855.83*51%</f>
        <v>7066.4732999999997</v>
      </c>
      <c r="E66" s="9"/>
      <c r="F66" s="11">
        <v>7181.87</v>
      </c>
      <c r="G66" s="124">
        <v>3257.33</v>
      </c>
      <c r="H66" s="11">
        <f t="shared" si="6"/>
        <v>3924.54</v>
      </c>
      <c r="I66" s="135">
        <v>7181.87</v>
      </c>
      <c r="J66" s="9"/>
      <c r="K66" s="63">
        <v>7249.32</v>
      </c>
      <c r="L66" s="61"/>
      <c r="M66" s="61"/>
    </row>
    <row r="67" spans="1:13" ht="15" thickBot="1" x14ac:dyDescent="0.25">
      <c r="A67" s="36" t="s">
        <v>105</v>
      </c>
      <c r="B67" s="95" t="s">
        <v>106</v>
      </c>
      <c r="C67" s="10">
        <f>13855.83*43%</f>
        <v>5958.0069000000003</v>
      </c>
      <c r="D67" s="10">
        <f>13855.83*43%</f>
        <v>5958.0069000000003</v>
      </c>
      <c r="E67" s="9"/>
      <c r="F67" s="11">
        <v>6055.3</v>
      </c>
      <c r="G67" s="124">
        <v>2746.36</v>
      </c>
      <c r="H67" s="11">
        <f t="shared" si="6"/>
        <v>3308.94</v>
      </c>
      <c r="I67" s="135">
        <v>6055.3</v>
      </c>
      <c r="J67" s="9"/>
      <c r="K67" s="63">
        <v>6112.17</v>
      </c>
      <c r="L67" s="61"/>
      <c r="M67" s="61"/>
    </row>
    <row r="68" spans="1:13" ht="15" thickBot="1" x14ac:dyDescent="0.25">
      <c r="A68" s="36" t="s">
        <v>107</v>
      </c>
      <c r="B68" s="93" t="s">
        <v>108</v>
      </c>
      <c r="C68" s="10">
        <f>13855.83*6%</f>
        <v>831.34979999999996</v>
      </c>
      <c r="D68" s="10">
        <f>13855.83*6%</f>
        <v>831.34979999999996</v>
      </c>
      <c r="E68" s="9"/>
      <c r="F68" s="11">
        <v>844.93</v>
      </c>
      <c r="G68" s="124">
        <v>383.21</v>
      </c>
      <c r="H68" s="11">
        <f t="shared" si="6"/>
        <v>461.71999999999997</v>
      </c>
      <c r="I68" s="135">
        <v>844.93</v>
      </c>
      <c r="J68" s="9"/>
      <c r="K68" s="63">
        <v>852.86</v>
      </c>
      <c r="L68" s="61"/>
      <c r="M68" s="61"/>
    </row>
    <row r="69" spans="1:13" ht="15" thickBot="1" x14ac:dyDescent="0.25">
      <c r="A69" s="36" t="s">
        <v>109</v>
      </c>
      <c r="B69" s="93" t="s">
        <v>110</v>
      </c>
      <c r="C69" s="10">
        <f>13620.37*51%</f>
        <v>6946.3887000000004</v>
      </c>
      <c r="D69" s="10">
        <f>13620.37*51%</f>
        <v>6946.3887000000004</v>
      </c>
      <c r="E69" s="9"/>
      <c r="F69" s="11">
        <v>7059.82</v>
      </c>
      <c r="G69" s="124">
        <v>3987.92</v>
      </c>
      <c r="H69" s="11">
        <f t="shared" si="6"/>
        <v>3071.8999999999996</v>
      </c>
      <c r="I69" s="135">
        <v>7059.82</v>
      </c>
      <c r="J69" s="9"/>
      <c r="K69" s="63">
        <v>7872.37</v>
      </c>
      <c r="L69" s="61"/>
      <c r="M69" s="61"/>
    </row>
    <row r="70" spans="1:13" ht="15" thickBot="1" x14ac:dyDescent="0.25">
      <c r="A70" s="36" t="s">
        <v>111</v>
      </c>
      <c r="B70" s="93" t="s">
        <v>112</v>
      </c>
      <c r="C70" s="10">
        <f>13620.37*43%</f>
        <v>5856.7591000000002</v>
      </c>
      <c r="D70" s="10">
        <f>13620.37*43%</f>
        <v>5856.7591000000002</v>
      </c>
      <c r="E70" s="9"/>
      <c r="F70" s="11">
        <v>5952.4</v>
      </c>
      <c r="G70" s="124">
        <v>3362.36</v>
      </c>
      <c r="H70" s="11">
        <f t="shared" si="6"/>
        <v>2590.0399999999995</v>
      </c>
      <c r="I70" s="135">
        <v>5952.4</v>
      </c>
      <c r="J70" s="38"/>
      <c r="K70" s="63">
        <v>6599.55</v>
      </c>
      <c r="L70" s="61"/>
      <c r="M70" s="61"/>
    </row>
    <row r="71" spans="1:13" ht="15" thickBot="1" x14ac:dyDescent="0.25">
      <c r="A71" s="36" t="s">
        <v>113</v>
      </c>
      <c r="B71" s="93" t="s">
        <v>114</v>
      </c>
      <c r="C71" s="10">
        <f>13620.37*6%</f>
        <v>817.22220000000004</v>
      </c>
      <c r="D71" s="10">
        <f>13620.37*6%</f>
        <v>817.22220000000004</v>
      </c>
      <c r="E71" s="9"/>
      <c r="F71" s="11">
        <v>830.57</v>
      </c>
      <c r="G71" s="124">
        <v>469.11</v>
      </c>
      <c r="H71" s="11">
        <f t="shared" si="6"/>
        <v>361.46000000000004</v>
      </c>
      <c r="I71" s="135">
        <v>830.57</v>
      </c>
      <c r="J71" s="38"/>
      <c r="K71" s="63">
        <v>920.87</v>
      </c>
      <c r="L71" s="61"/>
      <c r="M71" s="61"/>
    </row>
    <row r="72" spans="1:13" ht="15" thickBot="1" x14ac:dyDescent="0.25">
      <c r="A72" s="1" t="s">
        <v>115</v>
      </c>
      <c r="B72" s="73" t="s">
        <v>116</v>
      </c>
      <c r="C72" s="10">
        <v>21853.200000000001</v>
      </c>
      <c r="D72" s="10">
        <v>21853.200000000001</v>
      </c>
      <c r="E72" s="9"/>
      <c r="F72" s="11">
        <v>22204.91</v>
      </c>
      <c r="G72" s="124">
        <v>5759.88</v>
      </c>
      <c r="H72" s="11">
        <f t="shared" si="6"/>
        <v>16445.03</v>
      </c>
      <c r="I72" s="135">
        <v>22204.91</v>
      </c>
      <c r="J72" s="38"/>
      <c r="K72" s="63">
        <f>15897.32+5990.38</f>
        <v>21887.7</v>
      </c>
      <c r="L72" s="61"/>
      <c r="M72" s="61"/>
    </row>
    <row r="73" spans="1:13" ht="15" thickBot="1" x14ac:dyDescent="0.25">
      <c r="A73" s="1" t="s">
        <v>117</v>
      </c>
      <c r="B73" s="73" t="s">
        <v>118</v>
      </c>
      <c r="C73" s="10">
        <v>18425.25</v>
      </c>
      <c r="D73" s="10">
        <v>18425.25</v>
      </c>
      <c r="E73" s="9"/>
      <c r="F73" s="11">
        <v>18721.78</v>
      </c>
      <c r="G73" s="124">
        <v>4856.3999999999996</v>
      </c>
      <c r="H73" s="11">
        <f t="shared" si="6"/>
        <v>13865.38</v>
      </c>
      <c r="I73" s="135">
        <v>18721.78</v>
      </c>
      <c r="J73" s="38"/>
      <c r="K73" s="63">
        <f>13403.62+5050.71</f>
        <v>18454.330000000002</v>
      </c>
      <c r="L73" s="61"/>
      <c r="M73" s="61"/>
    </row>
    <row r="74" spans="1:13" ht="15" thickBot="1" x14ac:dyDescent="0.25">
      <c r="A74" s="1" t="s">
        <v>119</v>
      </c>
      <c r="B74" s="73" t="s">
        <v>120</v>
      </c>
      <c r="C74" s="10">
        <v>2570.96</v>
      </c>
      <c r="D74" s="10">
        <v>2570.96</v>
      </c>
      <c r="E74" s="9"/>
      <c r="F74" s="11">
        <v>2612.34</v>
      </c>
      <c r="G74" s="124">
        <v>677.64</v>
      </c>
      <c r="H74" s="11">
        <f t="shared" si="6"/>
        <v>1934.7000000000003</v>
      </c>
      <c r="I74" s="135">
        <v>2612.34</v>
      </c>
      <c r="J74" s="38"/>
      <c r="K74" s="63">
        <f>1870.27+704.75</f>
        <v>2575.02</v>
      </c>
      <c r="L74" s="61"/>
      <c r="M74" s="61"/>
    </row>
    <row r="75" spans="1:13" ht="15" thickBot="1" x14ac:dyDescent="0.3">
      <c r="A75" s="36" t="s">
        <v>121</v>
      </c>
      <c r="B75" s="93" t="s">
        <v>122</v>
      </c>
      <c r="C75" s="10">
        <f>(137.4*4)*51%</f>
        <v>280.29599999999999</v>
      </c>
      <c r="D75" s="10">
        <f>(137.4*4)*51%</f>
        <v>280.29599999999999</v>
      </c>
      <c r="E75" s="9"/>
      <c r="F75" s="11">
        <v>280.3</v>
      </c>
      <c r="G75" s="11">
        <v>0</v>
      </c>
      <c r="H75" s="39">
        <f t="shared" si="6"/>
        <v>280.3</v>
      </c>
      <c r="I75" s="135">
        <v>280.3</v>
      </c>
      <c r="J75" s="38"/>
      <c r="K75" s="63">
        <v>290.11</v>
      </c>
      <c r="L75" s="61"/>
      <c r="M75" s="61"/>
    </row>
    <row r="76" spans="1:13" ht="15" thickBot="1" x14ac:dyDescent="0.3">
      <c r="A76" s="1" t="s">
        <v>123</v>
      </c>
      <c r="B76" s="73" t="s">
        <v>124</v>
      </c>
      <c r="C76" s="10">
        <f>(137.4*4)*43%</f>
        <v>236.328</v>
      </c>
      <c r="D76" s="10">
        <f>(137.4*4)*43%</f>
        <v>236.328</v>
      </c>
      <c r="E76" s="9"/>
      <c r="F76" s="11">
        <v>236.33</v>
      </c>
      <c r="G76" s="11">
        <v>0</v>
      </c>
      <c r="H76" s="39">
        <f t="shared" si="6"/>
        <v>236.33</v>
      </c>
      <c r="I76" s="135">
        <v>236.33</v>
      </c>
      <c r="J76" s="38"/>
      <c r="K76" s="63">
        <v>244.6</v>
      </c>
      <c r="L76" s="61"/>
      <c r="M76" s="61"/>
    </row>
    <row r="77" spans="1:13" ht="15" thickBot="1" x14ac:dyDescent="0.3">
      <c r="A77" s="32" t="s">
        <v>125</v>
      </c>
      <c r="B77" s="95" t="s">
        <v>126</v>
      </c>
      <c r="C77" s="10">
        <f>(137.4*4)*6%</f>
        <v>32.975999999999999</v>
      </c>
      <c r="D77" s="10">
        <f>(137.4*4)*6%</f>
        <v>32.975999999999999</v>
      </c>
      <c r="E77" s="9"/>
      <c r="F77" s="11">
        <v>32.979999999999997</v>
      </c>
      <c r="G77" s="11">
        <v>0</v>
      </c>
      <c r="H77" s="39">
        <f t="shared" si="6"/>
        <v>32.979999999999997</v>
      </c>
      <c r="I77" s="135">
        <v>32.979999999999997</v>
      </c>
      <c r="J77" s="38"/>
      <c r="K77" s="63">
        <v>34.130000000000003</v>
      </c>
      <c r="L77" s="61"/>
      <c r="M77" s="61"/>
    </row>
    <row r="78" spans="1:13" ht="15" thickBot="1" x14ac:dyDescent="0.3">
      <c r="A78" s="1" t="s">
        <v>127</v>
      </c>
      <c r="B78" s="73" t="s">
        <v>128</v>
      </c>
      <c r="C78" s="10">
        <v>6807.28</v>
      </c>
      <c r="D78" s="10">
        <v>6807.28</v>
      </c>
      <c r="E78" s="38"/>
      <c r="F78" s="39">
        <v>7665.72</v>
      </c>
      <c r="G78" s="11">
        <v>0</v>
      </c>
      <c r="H78" s="39">
        <f t="shared" si="6"/>
        <v>7665.72</v>
      </c>
      <c r="I78" s="145">
        <v>7665.72</v>
      </c>
      <c r="J78" s="38"/>
      <c r="K78" s="63">
        <v>9475.07</v>
      </c>
      <c r="L78" s="61"/>
      <c r="M78" s="61"/>
    </row>
    <row r="79" spans="1:13" ht="15" thickBot="1" x14ac:dyDescent="0.3">
      <c r="A79" s="1" t="s">
        <v>129</v>
      </c>
      <c r="B79" s="73" t="s">
        <v>130</v>
      </c>
      <c r="C79" s="10">
        <v>5739.47</v>
      </c>
      <c r="D79" s="10">
        <v>5739.47</v>
      </c>
      <c r="E79" s="9"/>
      <c r="F79" s="11">
        <v>6463.25</v>
      </c>
      <c r="G79" s="11">
        <v>0</v>
      </c>
      <c r="H79" s="39">
        <f t="shared" si="6"/>
        <v>6463.25</v>
      </c>
      <c r="I79" s="135">
        <v>6463.25</v>
      </c>
      <c r="J79" s="38"/>
      <c r="K79" s="63">
        <v>7988.78</v>
      </c>
      <c r="L79" s="61"/>
      <c r="M79" s="61"/>
    </row>
    <row r="80" spans="1:13" ht="15" thickBot="1" x14ac:dyDescent="0.3">
      <c r="A80" s="1" t="s">
        <v>131</v>
      </c>
      <c r="B80" s="73" t="s">
        <v>132</v>
      </c>
      <c r="C80" s="10">
        <v>800.85</v>
      </c>
      <c r="D80" s="10">
        <v>800.85</v>
      </c>
      <c r="E80" s="9"/>
      <c r="F80" s="11">
        <v>904.66</v>
      </c>
      <c r="G80" s="11">
        <v>0</v>
      </c>
      <c r="H80" s="39">
        <f t="shared" si="6"/>
        <v>904.66</v>
      </c>
      <c r="I80" s="135">
        <v>904.66</v>
      </c>
      <c r="J80" s="38"/>
      <c r="K80" s="63">
        <v>1114.72</v>
      </c>
      <c r="L80" s="61"/>
      <c r="M80" s="61"/>
    </row>
    <row r="81" spans="1:13" ht="15" thickBot="1" x14ac:dyDescent="0.3">
      <c r="A81" s="1"/>
      <c r="B81" s="73"/>
      <c r="C81" s="10"/>
      <c r="D81" s="10"/>
      <c r="E81" s="10"/>
      <c r="F81" s="11"/>
      <c r="G81" s="11"/>
      <c r="H81" s="39"/>
      <c r="I81" s="135"/>
      <c r="J81" s="38"/>
      <c r="K81" s="63"/>
      <c r="L81" s="61"/>
      <c r="M81" s="61"/>
    </row>
    <row r="82" spans="1:13" ht="15" thickBot="1" x14ac:dyDescent="0.25">
      <c r="A82" s="1" t="s">
        <v>133</v>
      </c>
      <c r="B82" s="73" t="s">
        <v>134</v>
      </c>
      <c r="C82" s="10">
        <v>5610</v>
      </c>
      <c r="D82" s="10">
        <v>5610</v>
      </c>
      <c r="E82" s="9"/>
      <c r="F82" s="11">
        <f>10000*51%</f>
        <v>5100</v>
      </c>
      <c r="G82" s="124">
        <v>1285.2</v>
      </c>
      <c r="H82" s="39">
        <f t="shared" ref="H82:H110" si="7">F82-G82</f>
        <v>3814.8</v>
      </c>
      <c r="I82" s="135">
        <f>10000*51%</f>
        <v>5100</v>
      </c>
      <c r="J82" s="38"/>
      <c r="K82" s="63">
        <v>5100</v>
      </c>
      <c r="L82" s="61"/>
      <c r="M82" s="61"/>
    </row>
    <row r="83" spans="1:13" ht="15" thickBot="1" x14ac:dyDescent="0.25">
      <c r="A83" s="1" t="s">
        <v>135</v>
      </c>
      <c r="B83" s="73" t="s">
        <v>136</v>
      </c>
      <c r="C83" s="10">
        <v>4730</v>
      </c>
      <c r="D83" s="10">
        <v>4730</v>
      </c>
      <c r="E83" s="9"/>
      <c r="F83" s="11">
        <f>10000*43%</f>
        <v>4300</v>
      </c>
      <c r="G83" s="124">
        <v>1083.5999999999999</v>
      </c>
      <c r="H83" s="39">
        <f t="shared" si="7"/>
        <v>3216.4</v>
      </c>
      <c r="I83" s="135">
        <f>10000*43%</f>
        <v>4300</v>
      </c>
      <c r="J83" s="38"/>
      <c r="K83" s="63">
        <v>4300</v>
      </c>
      <c r="L83" s="61"/>
      <c r="M83" s="61"/>
    </row>
    <row r="84" spans="1:13" ht="15" thickBot="1" x14ac:dyDescent="0.25">
      <c r="A84" s="1" t="s">
        <v>137</v>
      </c>
      <c r="B84" s="73" t="s">
        <v>138</v>
      </c>
      <c r="C84" s="10">
        <v>660</v>
      </c>
      <c r="D84" s="10">
        <v>660</v>
      </c>
      <c r="E84" s="9"/>
      <c r="F84" s="11">
        <f>10000*6%</f>
        <v>600</v>
      </c>
      <c r="G84" s="129">
        <v>151.19999999999999</v>
      </c>
      <c r="H84" s="39">
        <f t="shared" si="7"/>
        <v>448.8</v>
      </c>
      <c r="I84" s="135">
        <f>10000*6%</f>
        <v>600</v>
      </c>
      <c r="J84" s="38"/>
      <c r="K84" s="63">
        <v>600</v>
      </c>
      <c r="L84" s="61"/>
      <c r="M84" s="61"/>
    </row>
    <row r="85" spans="1:13" ht="15" thickBot="1" x14ac:dyDescent="0.25">
      <c r="A85" s="1" t="s">
        <v>139</v>
      </c>
      <c r="B85" s="73" t="s">
        <v>140</v>
      </c>
      <c r="C85" s="10">
        <v>5000</v>
      </c>
      <c r="D85" s="10">
        <v>5000</v>
      </c>
      <c r="E85" s="9"/>
      <c r="F85" s="11">
        <f>11000*51%</f>
        <v>5610</v>
      </c>
      <c r="G85" s="124">
        <v>0</v>
      </c>
      <c r="H85" s="39">
        <f t="shared" si="7"/>
        <v>5610</v>
      </c>
      <c r="I85" s="135">
        <f>11000*51%</f>
        <v>5610</v>
      </c>
      <c r="J85" s="38"/>
      <c r="K85" s="120">
        <v>5610</v>
      </c>
      <c r="L85" s="61"/>
      <c r="M85" s="61"/>
    </row>
    <row r="86" spans="1:13" ht="15" thickBot="1" x14ac:dyDescent="0.25">
      <c r="A86" s="32" t="s">
        <v>141</v>
      </c>
      <c r="B86" s="95" t="s">
        <v>142</v>
      </c>
      <c r="C86" s="10">
        <v>2000</v>
      </c>
      <c r="D86" s="10">
        <v>2000</v>
      </c>
      <c r="E86" s="9"/>
      <c r="F86" s="11">
        <f>11000*43%</f>
        <v>4730</v>
      </c>
      <c r="G86" s="124">
        <v>0</v>
      </c>
      <c r="H86" s="39">
        <f t="shared" si="7"/>
        <v>4730</v>
      </c>
      <c r="I86" s="135">
        <f>11000*43%</f>
        <v>4730</v>
      </c>
      <c r="J86" s="38"/>
      <c r="K86" s="120">
        <v>4730</v>
      </c>
      <c r="L86" s="61"/>
      <c r="M86" s="61"/>
    </row>
    <row r="87" spans="1:13" ht="15" thickBot="1" x14ac:dyDescent="0.25">
      <c r="A87" s="36" t="s">
        <v>143</v>
      </c>
      <c r="B87" s="93" t="s">
        <v>144</v>
      </c>
      <c r="C87" s="10">
        <v>4000</v>
      </c>
      <c r="D87" s="10">
        <v>4000</v>
      </c>
      <c r="E87" s="9"/>
      <c r="F87" s="11">
        <f>11000*6%</f>
        <v>660</v>
      </c>
      <c r="G87" s="124">
        <v>0</v>
      </c>
      <c r="H87" s="39">
        <f t="shared" si="7"/>
        <v>660</v>
      </c>
      <c r="I87" s="135">
        <f>11000*6%</f>
        <v>660</v>
      </c>
      <c r="J87" s="38"/>
      <c r="K87" s="120">
        <v>660</v>
      </c>
      <c r="L87" s="61"/>
      <c r="M87" s="61"/>
    </row>
    <row r="88" spans="1:13" ht="15" thickBot="1" x14ac:dyDescent="0.25">
      <c r="A88" s="36" t="s">
        <v>145</v>
      </c>
      <c r="B88" s="93" t="s">
        <v>146</v>
      </c>
      <c r="C88" s="10">
        <v>1000</v>
      </c>
      <c r="D88" s="10">
        <v>1000</v>
      </c>
      <c r="E88" s="9"/>
      <c r="F88" s="11">
        <v>1000</v>
      </c>
      <c r="G88" s="124">
        <v>0</v>
      </c>
      <c r="H88" s="39">
        <f t="shared" si="7"/>
        <v>1000</v>
      </c>
      <c r="I88" s="135">
        <v>1000</v>
      </c>
      <c r="J88" s="38"/>
      <c r="K88" s="120">
        <v>1000</v>
      </c>
      <c r="L88" s="61"/>
      <c r="M88" s="61"/>
    </row>
    <row r="89" spans="1:13" ht="15" thickBot="1" x14ac:dyDescent="0.25">
      <c r="A89" s="36" t="s">
        <v>147</v>
      </c>
      <c r="B89" s="93" t="s">
        <v>148</v>
      </c>
      <c r="C89" s="10">
        <v>1000</v>
      </c>
      <c r="D89" s="10">
        <v>1000</v>
      </c>
      <c r="E89" s="9"/>
      <c r="F89" s="11">
        <v>1000</v>
      </c>
      <c r="G89" s="124">
        <v>0</v>
      </c>
      <c r="H89" s="39">
        <f t="shared" si="7"/>
        <v>1000</v>
      </c>
      <c r="I89" s="135">
        <v>1000</v>
      </c>
      <c r="J89" s="38"/>
      <c r="K89" s="120">
        <v>1000</v>
      </c>
      <c r="L89" s="61"/>
      <c r="M89" s="61"/>
    </row>
    <row r="90" spans="1:13" ht="15" thickBot="1" x14ac:dyDescent="0.25">
      <c r="A90" s="36" t="s">
        <v>149</v>
      </c>
      <c r="B90" s="93" t="s">
        <v>150</v>
      </c>
      <c r="C90" s="10">
        <v>3750</v>
      </c>
      <c r="D90" s="10">
        <v>3750</v>
      </c>
      <c r="E90" s="9"/>
      <c r="F90" s="11">
        <v>3750</v>
      </c>
      <c r="G90" s="124">
        <v>0</v>
      </c>
      <c r="H90" s="39">
        <f t="shared" si="7"/>
        <v>3750</v>
      </c>
      <c r="I90" s="135">
        <v>3750</v>
      </c>
      <c r="J90" s="38"/>
      <c r="K90" s="120">
        <v>3750</v>
      </c>
      <c r="L90" s="61"/>
      <c r="M90" s="61"/>
    </row>
    <row r="91" spans="1:13" ht="15" thickBot="1" x14ac:dyDescent="0.25">
      <c r="A91" s="1" t="s">
        <v>151</v>
      </c>
      <c r="B91" s="73" t="s">
        <v>152</v>
      </c>
      <c r="C91" s="10">
        <v>0</v>
      </c>
      <c r="D91" s="10">
        <v>0</v>
      </c>
      <c r="E91" s="9"/>
      <c r="F91" s="11">
        <v>1000</v>
      </c>
      <c r="G91" s="124">
        <v>0</v>
      </c>
      <c r="H91" s="39">
        <f t="shared" si="7"/>
        <v>1000</v>
      </c>
      <c r="I91" s="135">
        <v>1000</v>
      </c>
      <c r="J91" s="38"/>
      <c r="K91" s="120">
        <v>1000</v>
      </c>
      <c r="L91" s="61"/>
      <c r="M91" s="61"/>
    </row>
    <row r="92" spans="1:13" ht="15" thickBot="1" x14ac:dyDescent="0.25">
      <c r="A92" s="40" t="s">
        <v>153</v>
      </c>
      <c r="B92" s="97" t="s">
        <v>154</v>
      </c>
      <c r="C92" s="10">
        <v>1530</v>
      </c>
      <c r="D92" s="10">
        <v>1530</v>
      </c>
      <c r="E92" s="9"/>
      <c r="F92" s="11">
        <f>3000*51%</f>
        <v>1530</v>
      </c>
      <c r="G92" s="124">
        <v>484.02</v>
      </c>
      <c r="H92" s="39">
        <f t="shared" si="7"/>
        <v>1045.98</v>
      </c>
      <c r="I92" s="135">
        <f>3000*51%</f>
        <v>1530</v>
      </c>
      <c r="J92" s="38"/>
      <c r="K92" s="63">
        <v>1530</v>
      </c>
      <c r="L92" s="61"/>
      <c r="M92" s="61"/>
    </row>
    <row r="93" spans="1:13" ht="15" thickBot="1" x14ac:dyDescent="0.25">
      <c r="A93" s="40" t="s">
        <v>155</v>
      </c>
      <c r="B93" s="97" t="s">
        <v>156</v>
      </c>
      <c r="C93" s="10">
        <v>1290</v>
      </c>
      <c r="D93" s="10">
        <v>1290</v>
      </c>
      <c r="E93" s="9"/>
      <c r="F93" s="11">
        <v>1290</v>
      </c>
      <c r="G93" s="124">
        <v>408.08</v>
      </c>
      <c r="H93" s="39">
        <f t="shared" si="7"/>
        <v>881.92000000000007</v>
      </c>
      <c r="I93" s="135">
        <v>1290</v>
      </c>
      <c r="J93" s="38"/>
      <c r="K93" s="63">
        <v>1290</v>
      </c>
      <c r="L93" s="61"/>
      <c r="M93" s="61"/>
    </row>
    <row r="94" spans="1:13" ht="15" thickBot="1" x14ac:dyDescent="0.25">
      <c r="A94" s="40" t="s">
        <v>157</v>
      </c>
      <c r="B94" s="97" t="s">
        <v>158</v>
      </c>
      <c r="C94" s="10">
        <v>180</v>
      </c>
      <c r="D94" s="10">
        <v>180</v>
      </c>
      <c r="E94" s="9"/>
      <c r="F94" s="11">
        <v>180</v>
      </c>
      <c r="G94" s="124">
        <v>56.95</v>
      </c>
      <c r="H94" s="39">
        <f t="shared" si="7"/>
        <v>123.05</v>
      </c>
      <c r="I94" s="135">
        <v>180</v>
      </c>
      <c r="J94" s="38"/>
      <c r="K94" s="63">
        <v>180</v>
      </c>
      <c r="L94" s="61"/>
      <c r="M94" s="61"/>
    </row>
    <row r="95" spans="1:13" ht="15" thickBot="1" x14ac:dyDescent="0.25">
      <c r="A95" s="1" t="s">
        <v>159</v>
      </c>
      <c r="B95" s="97" t="s">
        <v>160</v>
      </c>
      <c r="C95" s="10">
        <v>2500</v>
      </c>
      <c r="D95" s="10">
        <v>2500</v>
      </c>
      <c r="E95" s="9"/>
      <c r="F95" s="11">
        <v>2000</v>
      </c>
      <c r="G95" s="124">
        <v>350.55</v>
      </c>
      <c r="H95" s="39">
        <f t="shared" si="7"/>
        <v>1649.45</v>
      </c>
      <c r="I95" s="135">
        <v>2000</v>
      </c>
      <c r="J95" s="38"/>
      <c r="K95" s="63">
        <v>2000</v>
      </c>
      <c r="L95" s="61"/>
      <c r="M95" s="61"/>
    </row>
    <row r="96" spans="1:13" ht="15" thickBot="1" x14ac:dyDescent="0.25">
      <c r="A96" s="36" t="s">
        <v>161</v>
      </c>
      <c r="B96" s="93" t="s">
        <v>162</v>
      </c>
      <c r="C96" s="10">
        <v>612</v>
      </c>
      <c r="D96" s="10">
        <v>612</v>
      </c>
      <c r="E96" s="9"/>
      <c r="F96" s="11">
        <v>612</v>
      </c>
      <c r="G96" s="124">
        <v>0</v>
      </c>
      <c r="H96" s="39">
        <f t="shared" si="7"/>
        <v>612</v>
      </c>
      <c r="I96" s="135">
        <v>612</v>
      </c>
      <c r="J96" s="38"/>
      <c r="K96" s="63">
        <v>612</v>
      </c>
      <c r="L96" s="61"/>
      <c r="M96" s="61"/>
    </row>
    <row r="97" spans="1:13" ht="15" thickBot="1" x14ac:dyDescent="0.25">
      <c r="A97" s="36" t="s">
        <v>163</v>
      </c>
      <c r="B97" s="93" t="s">
        <v>164</v>
      </c>
      <c r="C97" s="10">
        <v>516</v>
      </c>
      <c r="D97" s="10">
        <v>516</v>
      </c>
      <c r="E97" s="9"/>
      <c r="F97" s="11">
        <v>516</v>
      </c>
      <c r="G97" s="124">
        <v>0</v>
      </c>
      <c r="H97" s="39">
        <f t="shared" si="7"/>
        <v>516</v>
      </c>
      <c r="I97" s="135">
        <v>516</v>
      </c>
      <c r="J97" s="38"/>
      <c r="K97" s="63">
        <v>516</v>
      </c>
    </row>
    <row r="98" spans="1:13" ht="15" thickBot="1" x14ac:dyDescent="0.25">
      <c r="A98" s="36" t="s">
        <v>165</v>
      </c>
      <c r="B98" s="93" t="s">
        <v>166</v>
      </c>
      <c r="C98" s="10">
        <v>72</v>
      </c>
      <c r="D98" s="10">
        <v>72</v>
      </c>
      <c r="E98" s="9"/>
      <c r="F98" s="11">
        <v>72</v>
      </c>
      <c r="G98" s="124">
        <v>0</v>
      </c>
      <c r="H98" s="39">
        <f t="shared" si="7"/>
        <v>72</v>
      </c>
      <c r="I98" s="135">
        <v>72</v>
      </c>
      <c r="J98" s="38"/>
      <c r="K98" s="63">
        <v>72</v>
      </c>
    </row>
    <row r="99" spans="1:13" ht="15" thickBot="1" x14ac:dyDescent="0.25">
      <c r="A99" s="36" t="s">
        <v>167</v>
      </c>
      <c r="B99" s="93" t="s">
        <v>168</v>
      </c>
      <c r="C99" s="10">
        <v>16951</v>
      </c>
      <c r="D99" s="10">
        <v>16951</v>
      </c>
      <c r="E99" s="9"/>
      <c r="F99" s="11">
        <v>16817.8</v>
      </c>
      <c r="G99" s="124">
        <v>-146.49</v>
      </c>
      <c r="H99" s="39">
        <f t="shared" si="7"/>
        <v>16964.29</v>
      </c>
      <c r="I99" s="135">
        <v>16817.8</v>
      </c>
      <c r="J99" s="38"/>
      <c r="K99" s="63">
        <v>18694.05</v>
      </c>
    </row>
    <row r="100" spans="1:13" ht="15" thickBot="1" x14ac:dyDescent="0.25">
      <c r="A100" s="36" t="s">
        <v>169</v>
      </c>
      <c r="B100" s="93" t="s">
        <v>170</v>
      </c>
      <c r="C100" s="10">
        <v>14292</v>
      </c>
      <c r="D100" s="10">
        <v>14292</v>
      </c>
      <c r="E100" s="9"/>
      <c r="F100" s="11">
        <v>14179.72</v>
      </c>
      <c r="G100" s="124">
        <v>-110.51</v>
      </c>
      <c r="H100" s="39">
        <f t="shared" si="7"/>
        <v>14290.23</v>
      </c>
      <c r="I100" s="135">
        <v>14179.72</v>
      </c>
      <c r="J100" s="38"/>
      <c r="K100" s="63">
        <v>15761.65</v>
      </c>
    </row>
    <row r="101" spans="1:13" ht="15" thickBot="1" x14ac:dyDescent="0.25">
      <c r="A101" s="36" t="s">
        <v>171</v>
      </c>
      <c r="B101" s="93" t="s">
        <v>172</v>
      </c>
      <c r="C101" s="10">
        <v>1994</v>
      </c>
      <c r="D101" s="10">
        <v>1994</v>
      </c>
      <c r="E101" s="9"/>
      <c r="F101" s="41">
        <v>1978.56</v>
      </c>
      <c r="G101" s="124">
        <v>0</v>
      </c>
      <c r="H101" s="52">
        <f t="shared" si="7"/>
        <v>1978.56</v>
      </c>
      <c r="I101" s="146">
        <v>1978.56</v>
      </c>
      <c r="J101" s="38"/>
      <c r="K101" s="63">
        <v>2199.3000000000002</v>
      </c>
    </row>
    <row r="102" spans="1:13" ht="15" thickBot="1" x14ac:dyDescent="0.25">
      <c r="A102" s="36" t="s">
        <v>173</v>
      </c>
      <c r="B102" s="93" t="s">
        <v>174</v>
      </c>
      <c r="C102" s="10">
        <v>12036</v>
      </c>
      <c r="D102" s="10">
        <v>12036</v>
      </c>
      <c r="E102" s="9"/>
      <c r="F102" s="11">
        <v>9486</v>
      </c>
      <c r="G102" s="126">
        <v>3114.6</v>
      </c>
      <c r="H102" s="39">
        <f t="shared" si="7"/>
        <v>6371.4</v>
      </c>
      <c r="I102" s="135">
        <v>9486</v>
      </c>
      <c r="J102" s="38"/>
      <c r="K102" s="63">
        <v>9486</v>
      </c>
    </row>
    <row r="103" spans="1:13" ht="15" thickBot="1" x14ac:dyDescent="0.25">
      <c r="A103" s="1" t="s">
        <v>175</v>
      </c>
      <c r="B103" s="73" t="s">
        <v>176</v>
      </c>
      <c r="C103" s="10">
        <v>10148</v>
      </c>
      <c r="D103" s="10">
        <v>10148</v>
      </c>
      <c r="E103" s="9"/>
      <c r="F103" s="11">
        <v>7998</v>
      </c>
      <c r="G103" s="126">
        <v>2637.77</v>
      </c>
      <c r="H103" s="39">
        <f t="shared" si="7"/>
        <v>5360.23</v>
      </c>
      <c r="I103" s="135">
        <v>7998</v>
      </c>
      <c r="J103" s="38"/>
      <c r="K103" s="63">
        <v>7998</v>
      </c>
    </row>
    <row r="104" spans="1:13" ht="15" thickBot="1" x14ac:dyDescent="0.25">
      <c r="A104" s="32" t="s">
        <v>177</v>
      </c>
      <c r="B104" s="95" t="s">
        <v>178</v>
      </c>
      <c r="C104" s="10">
        <v>1416</v>
      </c>
      <c r="D104" s="10">
        <v>1416</v>
      </c>
      <c r="E104" s="9"/>
      <c r="F104" s="11">
        <v>1116</v>
      </c>
      <c r="G104" s="126">
        <v>403.48</v>
      </c>
      <c r="H104" s="39">
        <f t="shared" si="7"/>
        <v>712.52</v>
      </c>
      <c r="I104" s="135">
        <v>1116</v>
      </c>
      <c r="J104" s="38"/>
      <c r="K104" s="63">
        <v>1116</v>
      </c>
    </row>
    <row r="105" spans="1:13" ht="15" thickBot="1" x14ac:dyDescent="0.25">
      <c r="A105" s="36" t="s">
        <v>179</v>
      </c>
      <c r="B105" s="93" t="s">
        <v>180</v>
      </c>
      <c r="C105" s="10">
        <v>33354</v>
      </c>
      <c r="D105" s="10">
        <v>33354</v>
      </c>
      <c r="E105" s="9"/>
      <c r="F105" s="11">
        <v>28254</v>
      </c>
      <c r="G105" s="124">
        <v>6920.8</v>
      </c>
      <c r="H105" s="39">
        <f t="shared" si="7"/>
        <v>21333.200000000001</v>
      </c>
      <c r="I105" s="135">
        <v>28254</v>
      </c>
      <c r="J105" s="38"/>
      <c r="K105" s="63">
        <v>28254</v>
      </c>
    </row>
    <row r="106" spans="1:13" ht="15" thickBot="1" x14ac:dyDescent="0.25">
      <c r="A106" s="36" t="s">
        <v>181</v>
      </c>
      <c r="B106" s="93" t="s">
        <v>182</v>
      </c>
      <c r="C106" s="10">
        <v>28122</v>
      </c>
      <c r="D106" s="10">
        <v>28122</v>
      </c>
      <c r="E106" s="9"/>
      <c r="F106" s="11">
        <v>23822</v>
      </c>
      <c r="G106" s="124">
        <v>5852.07</v>
      </c>
      <c r="H106" s="39">
        <f t="shared" si="7"/>
        <v>17969.93</v>
      </c>
      <c r="I106" s="135">
        <v>23822</v>
      </c>
      <c r="J106" s="38"/>
      <c r="K106" s="63">
        <v>23822</v>
      </c>
    </row>
    <row r="107" spans="1:13" ht="15" thickBot="1" x14ac:dyDescent="0.25">
      <c r="A107" s="36" t="s">
        <v>183</v>
      </c>
      <c r="B107" s="93" t="s">
        <v>184</v>
      </c>
      <c r="C107" s="10">
        <v>3924</v>
      </c>
      <c r="D107" s="10">
        <v>3924</v>
      </c>
      <c r="E107" s="9"/>
      <c r="F107" s="11">
        <v>3324</v>
      </c>
      <c r="G107" s="124">
        <v>816.56</v>
      </c>
      <c r="H107" s="39">
        <f t="shared" si="7"/>
        <v>2507.44</v>
      </c>
      <c r="I107" s="135">
        <v>3324</v>
      </c>
      <c r="J107" s="38"/>
      <c r="K107" s="63">
        <v>3324</v>
      </c>
    </row>
    <row r="108" spans="1:13" ht="15" thickBot="1" x14ac:dyDescent="0.25">
      <c r="A108" s="36" t="s">
        <v>185</v>
      </c>
      <c r="B108" s="93" t="s">
        <v>186</v>
      </c>
      <c r="C108" s="10">
        <v>27132</v>
      </c>
      <c r="D108" s="10">
        <v>27132</v>
      </c>
      <c r="E108" s="9"/>
      <c r="F108" s="11">
        <v>22032</v>
      </c>
      <c r="G108" s="124">
        <v>0</v>
      </c>
      <c r="H108" s="39">
        <f t="shared" si="7"/>
        <v>22032</v>
      </c>
      <c r="I108" s="135">
        <v>22032</v>
      </c>
      <c r="J108" s="38"/>
      <c r="K108" s="63">
        <v>22032</v>
      </c>
    </row>
    <row r="109" spans="1:13" ht="15" thickBot="1" x14ac:dyDescent="0.25">
      <c r="A109" s="36" t="s">
        <v>187</v>
      </c>
      <c r="B109" s="93" t="s">
        <v>188</v>
      </c>
      <c r="C109" s="10">
        <v>22876</v>
      </c>
      <c r="D109" s="10">
        <v>22876</v>
      </c>
      <c r="E109" s="9"/>
      <c r="F109" s="11">
        <v>18576</v>
      </c>
      <c r="G109" s="124">
        <v>0</v>
      </c>
      <c r="H109" s="39">
        <f t="shared" si="7"/>
        <v>18576</v>
      </c>
      <c r="I109" s="135">
        <v>18576</v>
      </c>
      <c r="J109" s="38"/>
      <c r="K109" s="63">
        <v>18576</v>
      </c>
    </row>
    <row r="110" spans="1:13" ht="15" thickBot="1" x14ac:dyDescent="0.25">
      <c r="A110" s="36" t="s">
        <v>189</v>
      </c>
      <c r="B110" s="93" t="s">
        <v>190</v>
      </c>
      <c r="C110" s="110">
        <v>3192</v>
      </c>
      <c r="D110" s="110">
        <v>3192</v>
      </c>
      <c r="E110" s="116"/>
      <c r="F110" s="111">
        <v>2592</v>
      </c>
      <c r="G110" s="125">
        <v>0</v>
      </c>
      <c r="H110" s="111">
        <f t="shared" si="7"/>
        <v>2592</v>
      </c>
      <c r="I110" s="136">
        <v>2592</v>
      </c>
      <c r="J110" s="116"/>
      <c r="K110" s="85">
        <v>2592</v>
      </c>
    </row>
    <row r="111" spans="1:13" s="106" customFormat="1" ht="16.5" thickTop="1" thickBot="1" x14ac:dyDescent="0.3">
      <c r="A111" s="21" t="s">
        <v>191</v>
      </c>
      <c r="B111" s="119"/>
      <c r="C111" s="13">
        <f t="shared" ref="C111:I111" si="8">SUM(C58:C110)</f>
        <v>576943.97000000009</v>
      </c>
      <c r="D111" s="13">
        <f t="shared" si="8"/>
        <v>576943.97000000009</v>
      </c>
      <c r="E111" s="15"/>
      <c r="F111" s="14">
        <f t="shared" si="8"/>
        <v>570252.89999999991</v>
      </c>
      <c r="G111" s="130">
        <f t="shared" si="8"/>
        <v>193210.95999999996</v>
      </c>
      <c r="H111" s="14">
        <f t="shared" si="8"/>
        <v>377041.94</v>
      </c>
      <c r="I111" s="137">
        <f t="shared" si="8"/>
        <v>570252.89999999991</v>
      </c>
      <c r="J111" s="15"/>
      <c r="K111" s="109">
        <f>SUM(K58:K110)</f>
        <v>590285.1399999999</v>
      </c>
      <c r="L111" s="154"/>
      <c r="M111" s="155"/>
    </row>
    <row r="112" spans="1:13" ht="15" thickBot="1" x14ac:dyDescent="0.25">
      <c r="A112" s="66" t="s">
        <v>192</v>
      </c>
      <c r="B112" s="64" t="s">
        <v>193</v>
      </c>
      <c r="C112" s="10">
        <v>4000</v>
      </c>
      <c r="D112" s="10">
        <v>4000</v>
      </c>
      <c r="E112" s="9"/>
      <c r="F112" s="11">
        <v>53000</v>
      </c>
      <c r="G112" s="124">
        <v>0</v>
      </c>
      <c r="H112" s="11">
        <f>F112-G114</f>
        <v>53000</v>
      </c>
      <c r="I112" s="135">
        <v>53000</v>
      </c>
      <c r="J112" s="60"/>
      <c r="K112" s="63">
        <v>30803</v>
      </c>
    </row>
    <row r="113" spans="1:13" ht="15" thickBot="1" x14ac:dyDescent="0.25">
      <c r="A113" s="66" t="s">
        <v>194</v>
      </c>
      <c r="B113" s="64" t="s">
        <v>195</v>
      </c>
      <c r="C113" s="10">
        <v>6500</v>
      </c>
      <c r="D113" s="10">
        <v>6500</v>
      </c>
      <c r="E113" s="9"/>
      <c r="F113" s="11">
        <v>5000</v>
      </c>
      <c r="G113" s="124">
        <v>0</v>
      </c>
      <c r="H113" s="39">
        <f>F113-G115</f>
        <v>5000</v>
      </c>
      <c r="I113" s="135">
        <v>5000</v>
      </c>
      <c r="J113" s="38"/>
      <c r="K113" s="63">
        <v>20000</v>
      </c>
      <c r="L113" s="61"/>
      <c r="M113" s="61"/>
    </row>
    <row r="114" spans="1:13" ht="15" thickBot="1" x14ac:dyDescent="0.25">
      <c r="A114" s="20" t="s">
        <v>196</v>
      </c>
      <c r="B114" s="73" t="s">
        <v>197</v>
      </c>
      <c r="C114" s="10">
        <v>150000</v>
      </c>
      <c r="D114" s="10">
        <v>150000</v>
      </c>
      <c r="E114" s="9"/>
      <c r="F114" s="11">
        <v>150000</v>
      </c>
      <c r="G114" s="124">
        <v>0</v>
      </c>
      <c r="H114" s="39">
        <f>F114-G114</f>
        <v>150000</v>
      </c>
      <c r="I114" s="135">
        <v>150000</v>
      </c>
      <c r="J114" s="38"/>
      <c r="K114" s="63">
        <v>150000</v>
      </c>
      <c r="L114" s="61"/>
      <c r="M114" s="61"/>
    </row>
    <row r="115" spans="1:13" ht="15.75" thickBot="1" x14ac:dyDescent="0.25">
      <c r="A115" s="1" t="s">
        <v>198</v>
      </c>
      <c r="B115" s="73" t="s">
        <v>199</v>
      </c>
      <c r="C115" s="10">
        <v>255703</v>
      </c>
      <c r="D115" s="122">
        <v>576684</v>
      </c>
      <c r="E115" s="227"/>
      <c r="F115" s="11">
        <v>255703</v>
      </c>
      <c r="G115" s="124">
        <v>0</v>
      </c>
      <c r="H115" s="58">
        <v>255703</v>
      </c>
      <c r="I115" s="147">
        <f>I22</f>
        <v>473719</v>
      </c>
      <c r="J115" s="38"/>
      <c r="K115" s="63">
        <v>350000</v>
      </c>
      <c r="L115" s="61"/>
      <c r="M115" s="61"/>
    </row>
    <row r="116" spans="1:13" ht="15" thickBot="1" x14ac:dyDescent="0.25">
      <c r="A116" s="1" t="s">
        <v>200</v>
      </c>
      <c r="B116" s="73" t="s">
        <v>201</v>
      </c>
      <c r="C116" s="110">
        <v>109783</v>
      </c>
      <c r="D116" s="110">
        <v>0</v>
      </c>
      <c r="E116" s="116"/>
      <c r="F116" s="111">
        <v>0</v>
      </c>
      <c r="G116" s="111">
        <v>0</v>
      </c>
      <c r="H116" s="111">
        <f>F116-G116</f>
        <v>0</v>
      </c>
      <c r="I116" s="148">
        <v>0</v>
      </c>
      <c r="J116" s="116"/>
      <c r="K116" s="85">
        <v>0</v>
      </c>
      <c r="L116" s="61"/>
      <c r="M116" s="61"/>
    </row>
    <row r="117" spans="1:13" ht="16.5" thickTop="1" thickBot="1" x14ac:dyDescent="0.25">
      <c r="A117" s="45" t="s">
        <v>214</v>
      </c>
      <c r="B117" s="73"/>
      <c r="C117" s="42">
        <f t="shared" ref="C117:I117" si="9">SUM(C112:C116)</f>
        <v>525986</v>
      </c>
      <c r="D117" s="42">
        <f t="shared" si="9"/>
        <v>737184</v>
      </c>
      <c r="E117" s="114"/>
      <c r="F117" s="43">
        <f t="shared" si="9"/>
        <v>463703</v>
      </c>
      <c r="G117" s="43">
        <f t="shared" si="9"/>
        <v>0</v>
      </c>
      <c r="H117" s="53">
        <f t="shared" si="9"/>
        <v>463703</v>
      </c>
      <c r="I117" s="149">
        <f t="shared" si="9"/>
        <v>681719</v>
      </c>
      <c r="J117" s="44"/>
      <c r="K117" s="103">
        <f>SUM(K112:K116)</f>
        <v>550803</v>
      </c>
      <c r="L117" s="61"/>
      <c r="M117" s="61"/>
    </row>
    <row r="118" spans="1:13" ht="16.5" thickTop="1" thickBot="1" x14ac:dyDescent="0.25">
      <c r="A118" s="45" t="s">
        <v>202</v>
      </c>
      <c r="B118" s="98"/>
      <c r="C118" s="67">
        <f>C55+C111+C117</f>
        <v>1383573.2540000002</v>
      </c>
      <c r="D118" s="68">
        <f>D55+D111+D117</f>
        <v>1594771.2540000002</v>
      </c>
      <c r="E118" s="228"/>
      <c r="F118" s="70">
        <f>F55+F111+F117</f>
        <v>1326736.8399999999</v>
      </c>
      <c r="G118" s="67">
        <f>G37+G55+G111+G117</f>
        <v>361793.45999999996</v>
      </c>
      <c r="H118" s="102">
        <f>H55+H111+H117</f>
        <v>964943.38</v>
      </c>
      <c r="I118" s="150">
        <f>I55+I111+I117</f>
        <v>1544752.8399999999</v>
      </c>
      <c r="J118" s="69"/>
      <c r="K118" s="81">
        <f>K55+K111+K117</f>
        <v>1468647.7999999998</v>
      </c>
      <c r="L118" s="61"/>
      <c r="M118" s="61"/>
    </row>
    <row r="119" spans="1:13" ht="15" x14ac:dyDescent="0.2">
      <c r="A119" s="28"/>
      <c r="B119" s="99"/>
      <c r="C119" s="29"/>
      <c r="D119" s="29"/>
      <c r="E119" s="29"/>
      <c r="F119" s="30"/>
      <c r="G119" s="29"/>
      <c r="H119" s="30"/>
      <c r="J119" s="29"/>
      <c r="K119" s="49"/>
      <c r="L119" s="61"/>
      <c r="M119" s="61"/>
    </row>
    <row r="120" spans="1:13" ht="15" x14ac:dyDescent="0.2">
      <c r="A120" s="48" t="s">
        <v>208</v>
      </c>
      <c r="B120" s="99"/>
      <c r="C120" s="29"/>
      <c r="F120" s="30"/>
      <c r="G120" s="29"/>
      <c r="H120" s="30"/>
      <c r="J120" s="29"/>
      <c r="K120" s="49"/>
      <c r="L120" s="61"/>
      <c r="M120" s="61"/>
    </row>
    <row r="121" spans="1:13" x14ac:dyDescent="0.2">
      <c r="A121" s="50" t="s">
        <v>206</v>
      </c>
      <c r="B121" s="100"/>
      <c r="C121" s="49"/>
      <c r="F121" s="54"/>
      <c r="G121" s="49"/>
      <c r="H121" s="54"/>
      <c r="J121" s="49"/>
      <c r="L121" s="61"/>
      <c r="M121" s="61"/>
    </row>
    <row r="122" spans="1:13" x14ac:dyDescent="0.2">
      <c r="A122" s="46" t="s">
        <v>205</v>
      </c>
      <c r="C122" s="47" t="s">
        <v>5</v>
      </c>
      <c r="F122" s="104" t="s">
        <v>6</v>
      </c>
      <c r="K122" s="104" t="s">
        <v>204</v>
      </c>
      <c r="L122" s="61"/>
      <c r="M122" s="61"/>
    </row>
    <row r="123" spans="1:13" x14ac:dyDescent="0.2">
      <c r="A123" s="101" t="s">
        <v>227</v>
      </c>
      <c r="C123" s="47">
        <f>C118</f>
        <v>1383573.2540000002</v>
      </c>
      <c r="F123" s="58">
        <f>F118</f>
        <v>1326736.8399999999</v>
      </c>
      <c r="K123" s="104">
        <f>K118</f>
        <v>1468647.7999999998</v>
      </c>
      <c r="L123" s="61"/>
      <c r="M123" s="61"/>
    </row>
    <row r="124" spans="1:13" x14ac:dyDescent="0.2">
      <c r="A124" s="101" t="s">
        <v>209</v>
      </c>
      <c r="C124" s="47">
        <v>73.62</v>
      </c>
      <c r="F124" s="58">
        <v>76.97</v>
      </c>
      <c r="K124" s="104">
        <v>71.33</v>
      </c>
      <c r="L124" s="61"/>
      <c r="M124" s="61"/>
    </row>
    <row r="125" spans="1:13" x14ac:dyDescent="0.2">
      <c r="A125" s="101" t="s">
        <v>210</v>
      </c>
      <c r="C125" s="47">
        <v>26.97</v>
      </c>
      <c r="F125" s="58">
        <v>28.29</v>
      </c>
      <c r="K125" s="104">
        <v>26.78</v>
      </c>
      <c r="L125" s="61"/>
      <c r="M125" s="61"/>
    </row>
    <row r="126" spans="1:13" x14ac:dyDescent="0.2">
      <c r="A126" s="101" t="s">
        <v>211</v>
      </c>
      <c r="C126" s="47">
        <v>5.7</v>
      </c>
      <c r="F126" s="58">
        <v>5.87</v>
      </c>
      <c r="K126" s="104">
        <v>5.44</v>
      </c>
      <c r="L126" s="61"/>
      <c r="M126" s="61"/>
    </row>
    <row r="127" spans="1:13" x14ac:dyDescent="0.2">
      <c r="A127" s="101" t="s">
        <v>225</v>
      </c>
      <c r="C127" s="47">
        <v>36.81</v>
      </c>
      <c r="F127" s="58">
        <v>38.479999999999997</v>
      </c>
      <c r="K127" s="104">
        <v>35.659999999999997</v>
      </c>
      <c r="L127" s="61"/>
      <c r="M127" s="61"/>
    </row>
  </sheetData>
  <printOptions gridLines="1"/>
  <pageMargins left="0.2" right="0.2" top="1.1499999999999999" bottom="0.5" header="0.3" footer="0.3"/>
  <pageSetup scale="82" fitToHeight="0" orientation="landscape" r:id="rId1"/>
  <headerFooter>
    <oddHeader>&amp;C&amp;"Arial,Bold"&amp;14Barron Water Control District&amp;"-,Regular"&amp;11
&amp;"Arial,Regular"&amp;12 2018-19 General Fund
Proposed Budget, May 30, 2018
&amp;"Arial,Bold"Option A (Truck &amp; $20k Contingency)</oddHeader>
    <oddFooter>&amp;C&amp;"Arial Narrow,Regular"&amp;10&amp;Z&amp;F&amp;R&amp;"Arial Narrow,Regular"&amp;10Page &amp;P</oddFooter>
  </headerFooter>
  <rowBreaks count="1" manualBreakCount="1">
    <brk id="2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view="pageLayout" zoomScaleNormal="100" workbookViewId="0">
      <selection activeCell="L127" sqref="L127"/>
    </sheetView>
  </sheetViews>
  <sheetFormatPr defaultRowHeight="14.25" x14ac:dyDescent="0.2"/>
  <cols>
    <col min="1" max="1" width="60.42578125" style="46" customWidth="1"/>
    <col min="2" max="2" width="9.28515625" style="101" customWidth="1"/>
    <col min="3" max="4" width="14" style="47" customWidth="1"/>
    <col min="5" max="5" width="14" style="58" customWidth="1"/>
    <col min="6" max="6" width="14" style="47" customWidth="1"/>
    <col min="7" max="7" width="14" style="58" customWidth="1"/>
    <col min="8" max="8" width="14.140625" style="151" customWidth="1"/>
    <col min="9" max="9" width="1.140625" style="47" customWidth="1"/>
    <col min="10" max="10" width="15.42578125" style="104" customWidth="1"/>
    <col min="11" max="11" width="14.7109375" style="152" customWidth="1"/>
    <col min="12" max="12" width="12.140625" style="153" customWidth="1"/>
    <col min="13" max="13" width="17.5703125" style="61" customWidth="1"/>
    <col min="14" max="16384" width="9.140625" style="61"/>
  </cols>
  <sheetData>
    <row r="1" spans="1:12" ht="15.75" thickBot="1" x14ac:dyDescent="0.25">
      <c r="A1" s="164"/>
      <c r="B1" s="162" t="s">
        <v>0</v>
      </c>
      <c r="C1" s="2" t="s">
        <v>1</v>
      </c>
      <c r="D1" s="2" t="s">
        <v>220</v>
      </c>
      <c r="E1" s="2" t="s">
        <v>1</v>
      </c>
      <c r="F1" s="2" t="s">
        <v>2</v>
      </c>
      <c r="G1" s="2" t="s">
        <v>3</v>
      </c>
      <c r="H1" s="132" t="s">
        <v>220</v>
      </c>
      <c r="I1" s="74"/>
      <c r="J1" s="77" t="s">
        <v>203</v>
      </c>
    </row>
    <row r="2" spans="1:12" ht="15.75" thickBot="1" x14ac:dyDescent="0.3">
      <c r="A2" s="1"/>
      <c r="B2" s="163" t="s">
        <v>4</v>
      </c>
      <c r="C2" s="3" t="s">
        <v>5</v>
      </c>
      <c r="D2" s="3" t="s">
        <v>5</v>
      </c>
      <c r="E2" s="4" t="s">
        <v>6</v>
      </c>
      <c r="F2" s="5">
        <v>43190</v>
      </c>
      <c r="G2" s="5" t="s">
        <v>222</v>
      </c>
      <c r="H2" s="133">
        <v>43250</v>
      </c>
      <c r="I2" s="75"/>
      <c r="J2" s="77" t="s">
        <v>204</v>
      </c>
      <c r="K2" s="61"/>
      <c r="L2" s="61"/>
    </row>
    <row r="3" spans="1:12" ht="15.75" thickBot="1" x14ac:dyDescent="0.25">
      <c r="A3" s="7" t="s">
        <v>7</v>
      </c>
      <c r="B3" s="78"/>
      <c r="C3" s="2"/>
      <c r="D3" s="65">
        <v>42886</v>
      </c>
      <c r="E3" s="8"/>
      <c r="F3" s="2"/>
      <c r="G3" s="8"/>
      <c r="H3" s="134"/>
      <c r="I3" s="38"/>
      <c r="J3" s="63"/>
      <c r="K3" s="61"/>
      <c r="L3" s="61"/>
    </row>
    <row r="4" spans="1:12" ht="15" thickBot="1" x14ac:dyDescent="0.25">
      <c r="A4" s="1" t="s">
        <v>8</v>
      </c>
      <c r="B4" s="62" t="s">
        <v>9</v>
      </c>
      <c r="C4" s="10">
        <v>605818.13</v>
      </c>
      <c r="D4" s="10">
        <v>605818.13</v>
      </c>
      <c r="E4" s="11">
        <v>636410.23</v>
      </c>
      <c r="F4" s="124">
        <v>558578.23</v>
      </c>
      <c r="G4" s="11">
        <f>E4-F4</f>
        <v>77832</v>
      </c>
      <c r="H4" s="135">
        <v>636410.23</v>
      </c>
      <c r="I4" s="9"/>
      <c r="J4" s="120">
        <v>582150.69999999995</v>
      </c>
      <c r="K4" s="61"/>
      <c r="L4" s="61"/>
    </row>
    <row r="5" spans="1:12" ht="15" thickBot="1" x14ac:dyDescent="0.25">
      <c r="A5" s="1" t="s">
        <v>10</v>
      </c>
      <c r="B5" s="62" t="s">
        <v>11</v>
      </c>
      <c r="C5" s="10">
        <v>135096.98000000001</v>
      </c>
      <c r="D5" s="10">
        <v>135096.98000000001</v>
      </c>
      <c r="E5" s="11">
        <v>133613.60999999999</v>
      </c>
      <c r="F5" s="124">
        <v>130883.87</v>
      </c>
      <c r="G5" s="11">
        <f>E5-F5</f>
        <v>2729.7399999999907</v>
      </c>
      <c r="H5" s="135">
        <v>133613.60999999999</v>
      </c>
      <c r="I5" s="9"/>
      <c r="J5" s="120">
        <v>127814.3</v>
      </c>
      <c r="K5" s="61"/>
      <c r="L5" s="61"/>
    </row>
    <row r="6" spans="1:12" ht="15" thickBot="1" x14ac:dyDescent="0.25">
      <c r="A6" s="1" t="s">
        <v>12</v>
      </c>
      <c r="B6" s="62" t="s">
        <v>13</v>
      </c>
      <c r="C6" s="10">
        <v>3994.14</v>
      </c>
      <c r="D6" s="10">
        <v>3994.14</v>
      </c>
      <c r="E6" s="11">
        <v>5000</v>
      </c>
      <c r="F6" s="124">
        <v>4035.79</v>
      </c>
      <c r="G6" s="11">
        <f>E6-F6</f>
        <v>964.21</v>
      </c>
      <c r="H6" s="135">
        <v>5000</v>
      </c>
      <c r="I6" s="9"/>
      <c r="J6" s="63">
        <v>5000</v>
      </c>
      <c r="K6" s="61"/>
      <c r="L6" s="61"/>
    </row>
    <row r="7" spans="1:12" ht="15" thickBot="1" x14ac:dyDescent="0.25">
      <c r="A7" s="1" t="s">
        <v>14</v>
      </c>
      <c r="B7" s="62" t="s">
        <v>15</v>
      </c>
      <c r="C7" s="110">
        <v>800</v>
      </c>
      <c r="D7" s="110">
        <v>800</v>
      </c>
      <c r="E7" s="111">
        <v>1000</v>
      </c>
      <c r="F7" s="125">
        <v>127.5</v>
      </c>
      <c r="G7" s="111">
        <f>E7-F7</f>
        <v>872.5</v>
      </c>
      <c r="H7" s="136">
        <v>1000</v>
      </c>
      <c r="I7" s="112"/>
      <c r="J7" s="159">
        <v>200</v>
      </c>
      <c r="K7" s="61"/>
      <c r="L7" s="61"/>
    </row>
    <row r="8" spans="1:12" s="106" customFormat="1" ht="16.5" thickTop="1" thickBot="1" x14ac:dyDescent="0.3">
      <c r="A8" s="12" t="s">
        <v>16</v>
      </c>
      <c r="B8" s="105"/>
      <c r="C8" s="13">
        <f t="shared" ref="C8:H8" si="0">SUM(C4:C7)</f>
        <v>745709.25</v>
      </c>
      <c r="D8" s="13">
        <f t="shared" si="0"/>
        <v>745709.25</v>
      </c>
      <c r="E8" s="14">
        <f t="shared" si="0"/>
        <v>776023.84</v>
      </c>
      <c r="F8" s="13">
        <f t="shared" si="0"/>
        <v>693625.39</v>
      </c>
      <c r="G8" s="14">
        <f t="shared" si="0"/>
        <v>82398.45</v>
      </c>
      <c r="H8" s="137">
        <f t="shared" si="0"/>
        <v>776023.84</v>
      </c>
      <c r="I8" s="158"/>
      <c r="J8" s="82">
        <f>SUM(J4:J7)</f>
        <v>715165</v>
      </c>
    </row>
    <row r="9" spans="1:12" ht="15.75" thickBot="1" x14ac:dyDescent="0.3">
      <c r="A9" s="7"/>
      <c r="B9" s="62"/>
      <c r="C9" s="16"/>
      <c r="D9" s="16"/>
      <c r="E9" s="17"/>
      <c r="F9" s="16"/>
      <c r="G9" s="17"/>
      <c r="H9" s="138"/>
      <c r="I9" s="18"/>
      <c r="J9" s="63"/>
      <c r="K9" s="61"/>
      <c r="L9" s="61"/>
    </row>
    <row r="10" spans="1:12" ht="15" thickBot="1" x14ac:dyDescent="0.3">
      <c r="A10" s="19" t="s">
        <v>17</v>
      </c>
      <c r="B10" s="80" t="s">
        <v>18</v>
      </c>
      <c r="C10" s="10">
        <v>0</v>
      </c>
      <c r="D10" s="10">
        <v>0</v>
      </c>
      <c r="E10" s="11">
        <v>0</v>
      </c>
      <c r="F10" s="10">
        <v>0</v>
      </c>
      <c r="G10" s="11">
        <v>0</v>
      </c>
      <c r="H10" s="135">
        <v>0</v>
      </c>
      <c r="I10" s="9"/>
      <c r="J10" s="63">
        <v>0</v>
      </c>
      <c r="K10" s="61"/>
      <c r="L10" s="61"/>
    </row>
    <row r="11" spans="1:12" ht="15" thickBot="1" x14ac:dyDescent="0.25">
      <c r="A11" s="19" t="s">
        <v>19</v>
      </c>
      <c r="B11" s="80" t="s">
        <v>20</v>
      </c>
      <c r="C11" s="10">
        <v>24500</v>
      </c>
      <c r="D11" s="10">
        <v>24500</v>
      </c>
      <c r="E11" s="11">
        <v>25000</v>
      </c>
      <c r="F11" s="124">
        <v>20831.41</v>
      </c>
      <c r="G11" s="11">
        <f t="shared" ref="G11:G21" si="1">E11-F11</f>
        <v>4168.59</v>
      </c>
      <c r="H11" s="135">
        <v>30000</v>
      </c>
      <c r="I11" s="9"/>
      <c r="J11" s="81">
        <v>30000</v>
      </c>
      <c r="K11" s="61"/>
      <c r="L11" s="61"/>
    </row>
    <row r="12" spans="1:12" ht="15.75" thickBot="1" x14ac:dyDescent="0.25">
      <c r="A12" s="1" t="s">
        <v>218</v>
      </c>
      <c r="B12" s="62" t="s">
        <v>21</v>
      </c>
      <c r="C12" s="10">
        <f>68348+4200</f>
        <v>72548</v>
      </c>
      <c r="D12" s="10">
        <f>68348+4200</f>
        <v>72548</v>
      </c>
      <c r="E12" s="11">
        <v>74000</v>
      </c>
      <c r="F12" s="124">
        <v>46097.88</v>
      </c>
      <c r="G12" s="11">
        <f t="shared" si="1"/>
        <v>27902.120000000003</v>
      </c>
      <c r="H12" s="135">
        <v>74000</v>
      </c>
      <c r="I12" s="9"/>
      <c r="J12" s="82">
        <v>89206</v>
      </c>
      <c r="K12" s="61"/>
      <c r="L12" s="61"/>
    </row>
    <row r="13" spans="1:12" s="121" customFormat="1" ht="15" thickBot="1" x14ac:dyDescent="0.25">
      <c r="A13" s="1" t="s">
        <v>217</v>
      </c>
      <c r="B13" s="62" t="s">
        <v>22</v>
      </c>
      <c r="C13" s="10">
        <v>880</v>
      </c>
      <c r="D13" s="10">
        <v>880</v>
      </c>
      <c r="E13" s="11">
        <v>1000</v>
      </c>
      <c r="F13" s="126">
        <v>919.26</v>
      </c>
      <c r="G13" s="11">
        <f t="shared" si="1"/>
        <v>80.740000000000009</v>
      </c>
      <c r="H13" s="135">
        <v>1000</v>
      </c>
      <c r="I13" s="10"/>
      <c r="J13" s="120">
        <v>5000</v>
      </c>
    </row>
    <row r="14" spans="1:12" ht="15" thickBot="1" x14ac:dyDescent="0.25">
      <c r="A14" s="1" t="s">
        <v>216</v>
      </c>
      <c r="B14" s="62" t="s">
        <v>23</v>
      </c>
      <c r="C14" s="10">
        <v>500</v>
      </c>
      <c r="D14" s="10">
        <v>500</v>
      </c>
      <c r="E14" s="11">
        <v>700</v>
      </c>
      <c r="F14" s="124">
        <v>299.63</v>
      </c>
      <c r="G14" s="11">
        <f t="shared" si="1"/>
        <v>400.37</v>
      </c>
      <c r="H14" s="135">
        <v>700</v>
      </c>
      <c r="I14" s="9"/>
      <c r="J14" s="63">
        <v>960</v>
      </c>
      <c r="K14" s="61"/>
      <c r="L14" s="61"/>
    </row>
    <row r="15" spans="1:12" ht="15" thickBot="1" x14ac:dyDescent="0.25">
      <c r="A15" s="1" t="s">
        <v>24</v>
      </c>
      <c r="B15" s="62" t="s">
        <v>25</v>
      </c>
      <c r="C15" s="10">
        <v>200</v>
      </c>
      <c r="D15" s="10">
        <v>200</v>
      </c>
      <c r="E15" s="11">
        <v>110</v>
      </c>
      <c r="F15" s="124">
        <v>83.76</v>
      </c>
      <c r="G15" s="11">
        <f t="shared" si="1"/>
        <v>26.239999999999995</v>
      </c>
      <c r="H15" s="135">
        <v>110</v>
      </c>
      <c r="I15" s="9"/>
      <c r="J15" s="63">
        <v>100</v>
      </c>
      <c r="K15" s="61"/>
      <c r="L15" s="61"/>
    </row>
    <row r="16" spans="1:12" ht="15" thickBot="1" x14ac:dyDescent="0.25">
      <c r="A16" s="1" t="s">
        <v>26</v>
      </c>
      <c r="B16" s="62" t="s">
        <v>27</v>
      </c>
      <c r="C16" s="10">
        <v>300</v>
      </c>
      <c r="D16" s="10">
        <v>300</v>
      </c>
      <c r="E16" s="11">
        <v>350</v>
      </c>
      <c r="F16" s="124">
        <v>1569.3</v>
      </c>
      <c r="G16" s="11">
        <f t="shared" si="1"/>
        <v>-1219.3</v>
      </c>
      <c r="H16" s="135">
        <v>350</v>
      </c>
      <c r="I16" s="9"/>
      <c r="J16" s="63">
        <v>1500</v>
      </c>
      <c r="K16" s="61"/>
      <c r="L16" s="61"/>
    </row>
    <row r="17" spans="1:12" ht="15" thickBot="1" x14ac:dyDescent="0.25">
      <c r="A17" s="1" t="s">
        <v>219</v>
      </c>
      <c r="B17" s="62" t="s">
        <v>28</v>
      </c>
      <c r="C17" s="10">
        <v>4800</v>
      </c>
      <c r="D17" s="10">
        <v>4800</v>
      </c>
      <c r="E17" s="11">
        <v>4800</v>
      </c>
      <c r="F17" s="124">
        <v>2400</v>
      </c>
      <c r="G17" s="11">
        <f t="shared" si="1"/>
        <v>2400</v>
      </c>
      <c r="H17" s="135">
        <v>4800</v>
      </c>
      <c r="I17" s="9"/>
      <c r="J17" s="63">
        <v>4800</v>
      </c>
      <c r="K17" s="61"/>
      <c r="L17" s="61"/>
    </row>
    <row r="18" spans="1:12" s="121" customFormat="1" ht="15" thickBot="1" x14ac:dyDescent="0.25">
      <c r="A18" s="1" t="s">
        <v>224</v>
      </c>
      <c r="B18" s="62" t="s">
        <v>29</v>
      </c>
      <c r="C18" s="10">
        <v>1000</v>
      </c>
      <c r="D18" s="10">
        <v>1000</v>
      </c>
      <c r="E18" s="11">
        <v>18500</v>
      </c>
      <c r="F18" s="126">
        <v>35340.589999999997</v>
      </c>
      <c r="G18" s="11">
        <f t="shared" si="1"/>
        <v>-16840.589999999997</v>
      </c>
      <c r="H18" s="135">
        <v>18500</v>
      </c>
      <c r="I18" s="10"/>
      <c r="J18" s="120">
        <v>26113.8</v>
      </c>
    </row>
    <row r="19" spans="1:12" ht="15" thickBot="1" x14ac:dyDescent="0.25">
      <c r="A19" s="1" t="s">
        <v>30</v>
      </c>
      <c r="B19" s="62" t="s">
        <v>31</v>
      </c>
      <c r="C19" s="10">
        <v>16500</v>
      </c>
      <c r="D19" s="10">
        <v>16500</v>
      </c>
      <c r="E19" s="11">
        <v>20000</v>
      </c>
      <c r="F19" s="124">
        <v>8306.9599999999991</v>
      </c>
      <c r="G19" s="11">
        <f t="shared" si="1"/>
        <v>11693.04</v>
      </c>
      <c r="H19" s="135">
        <v>20000</v>
      </c>
      <c r="I19" s="9"/>
      <c r="J19" s="63">
        <v>15000</v>
      </c>
    </row>
    <row r="20" spans="1:12" ht="15" thickBot="1" x14ac:dyDescent="0.25">
      <c r="A20" s="1" t="s">
        <v>32</v>
      </c>
      <c r="B20" s="62" t="s">
        <v>33</v>
      </c>
      <c r="C20" s="10">
        <v>1000</v>
      </c>
      <c r="D20" s="10">
        <v>1000</v>
      </c>
      <c r="E20" s="11">
        <v>500</v>
      </c>
      <c r="F20" s="124">
        <v>0</v>
      </c>
      <c r="G20" s="11">
        <f t="shared" si="1"/>
        <v>500</v>
      </c>
      <c r="H20" s="135">
        <v>500</v>
      </c>
      <c r="I20" s="9"/>
      <c r="J20" s="63">
        <v>0</v>
      </c>
    </row>
    <row r="21" spans="1:12" ht="15" thickBot="1" x14ac:dyDescent="0.25">
      <c r="A21" s="1" t="s">
        <v>34</v>
      </c>
      <c r="B21" s="62" t="s">
        <v>35</v>
      </c>
      <c r="C21" s="10">
        <v>150</v>
      </c>
      <c r="D21" s="10">
        <v>150</v>
      </c>
      <c r="E21" s="11">
        <v>50</v>
      </c>
      <c r="F21" s="124">
        <v>14.34</v>
      </c>
      <c r="G21" s="11">
        <f t="shared" si="1"/>
        <v>35.659999999999997</v>
      </c>
      <c r="H21" s="139">
        <v>50</v>
      </c>
      <c r="I21" s="9"/>
      <c r="J21" s="63">
        <v>0</v>
      </c>
    </row>
    <row r="22" spans="1:12" ht="15.75" thickBot="1" x14ac:dyDescent="0.3">
      <c r="A22" s="20" t="s">
        <v>36</v>
      </c>
      <c r="B22" s="79" t="s">
        <v>37</v>
      </c>
      <c r="C22" s="10">
        <v>255703</v>
      </c>
      <c r="D22" s="122">
        <v>576684</v>
      </c>
      <c r="E22" s="11">
        <v>255703</v>
      </c>
      <c r="F22" s="10">
        <v>0</v>
      </c>
      <c r="G22" s="58">
        <f>E22</f>
        <v>255703</v>
      </c>
      <c r="H22" s="140">
        <v>473719</v>
      </c>
      <c r="I22" s="131"/>
      <c r="J22" s="120">
        <v>400000</v>
      </c>
    </row>
    <row r="23" spans="1:12" ht="15" thickBot="1" x14ac:dyDescent="0.3">
      <c r="A23" s="20" t="s">
        <v>38</v>
      </c>
      <c r="B23" s="62" t="s">
        <v>39</v>
      </c>
      <c r="C23" s="10">
        <v>150000</v>
      </c>
      <c r="D23" s="10">
        <v>150000</v>
      </c>
      <c r="E23" s="57">
        <v>150000</v>
      </c>
      <c r="F23" s="10">
        <v>0</v>
      </c>
      <c r="G23" s="11">
        <f>H23</f>
        <v>150000</v>
      </c>
      <c r="H23" s="141">
        <v>150000</v>
      </c>
      <c r="I23" s="9"/>
      <c r="J23" s="120">
        <v>150000</v>
      </c>
    </row>
    <row r="24" spans="1:12" ht="15" thickBot="1" x14ac:dyDescent="0.3">
      <c r="A24" s="83" t="s">
        <v>40</v>
      </c>
      <c r="B24" s="84" t="s">
        <v>41</v>
      </c>
      <c r="C24" s="110">
        <v>109783</v>
      </c>
      <c r="D24" s="110">
        <v>0</v>
      </c>
      <c r="E24" s="127">
        <v>0</v>
      </c>
      <c r="F24" s="110">
        <v>0</v>
      </c>
      <c r="G24" s="117">
        <v>0</v>
      </c>
      <c r="H24" s="136">
        <v>0</v>
      </c>
      <c r="I24" s="116"/>
      <c r="J24" s="85">
        <v>0</v>
      </c>
    </row>
    <row r="25" spans="1:12" s="106" customFormat="1" ht="16.5" thickTop="1" thickBot="1" x14ac:dyDescent="0.3">
      <c r="A25" s="56" t="s">
        <v>42</v>
      </c>
      <c r="B25" s="107"/>
      <c r="C25" s="42">
        <f t="shared" ref="C25:H25" si="2">SUM(C10:C24)</f>
        <v>637864</v>
      </c>
      <c r="D25" s="42">
        <f t="shared" si="2"/>
        <v>849062</v>
      </c>
      <c r="E25" s="113">
        <f t="shared" si="2"/>
        <v>550713</v>
      </c>
      <c r="F25" s="42">
        <f t="shared" si="2"/>
        <v>115863.12999999998</v>
      </c>
      <c r="G25" s="113">
        <f t="shared" si="2"/>
        <v>434849.87</v>
      </c>
      <c r="H25" s="161">
        <f t="shared" si="2"/>
        <v>773729</v>
      </c>
      <c r="I25" s="114"/>
      <c r="J25" s="115">
        <f>SUM(J10:J24)</f>
        <v>722679.8</v>
      </c>
      <c r="K25" s="154"/>
      <c r="L25" s="155"/>
    </row>
    <row r="26" spans="1:12" s="106" customFormat="1" ht="16.5" thickTop="1" thickBot="1" x14ac:dyDescent="0.3">
      <c r="A26" s="21" t="s">
        <v>43</v>
      </c>
      <c r="B26" s="108"/>
      <c r="C26" s="13">
        <f>SUM(C8:C24)</f>
        <v>1383573.25</v>
      </c>
      <c r="D26" s="13">
        <f>D8+D25</f>
        <v>1594771.25</v>
      </c>
      <c r="E26" s="14">
        <f>E25+E8</f>
        <v>1326736.8399999999</v>
      </c>
      <c r="F26" s="13">
        <f>F8+F25</f>
        <v>809488.52</v>
      </c>
      <c r="G26" s="14">
        <f>G8+G25</f>
        <v>517248.32</v>
      </c>
      <c r="H26" s="160">
        <f>H8+H25</f>
        <v>1549752.8399999999</v>
      </c>
      <c r="I26" s="15"/>
      <c r="J26" s="109">
        <f>J25+J8</f>
        <v>1437844.8</v>
      </c>
      <c r="K26" s="154"/>
      <c r="L26" s="155"/>
    </row>
    <row r="27" spans="1:12" ht="15" thickBot="1" x14ac:dyDescent="0.25">
      <c r="D27" s="156">
        <f>D26-C26</f>
        <v>211198</v>
      </c>
      <c r="H27" s="157">
        <f>H26-E26</f>
        <v>223016</v>
      </c>
    </row>
    <row r="28" spans="1:12" ht="15.75" thickBot="1" x14ac:dyDescent="0.25">
      <c r="A28" s="7" t="s">
        <v>212</v>
      </c>
      <c r="B28" s="123"/>
      <c r="C28" s="3"/>
      <c r="D28" s="3"/>
      <c r="E28" s="4"/>
      <c r="F28" s="3"/>
      <c r="G28" s="51"/>
      <c r="H28" s="142"/>
      <c r="I28" s="6"/>
      <c r="J28" s="63"/>
    </row>
    <row r="29" spans="1:12" ht="15" thickBot="1" x14ac:dyDescent="0.25">
      <c r="A29" s="1" t="s">
        <v>44</v>
      </c>
      <c r="B29" s="62" t="s">
        <v>45</v>
      </c>
      <c r="C29" s="10">
        <v>84341.25</v>
      </c>
      <c r="D29" s="10">
        <v>84341.25</v>
      </c>
      <c r="E29" s="11">
        <v>87717.759999999995</v>
      </c>
      <c r="F29" s="124">
        <v>43858.879999999997</v>
      </c>
      <c r="G29" s="11">
        <f t="shared" ref="G29:G36" si="3">E29-F29</f>
        <v>43858.879999999997</v>
      </c>
      <c r="H29" s="135">
        <v>87717.759999999995</v>
      </c>
      <c r="I29" s="9"/>
      <c r="J29" s="63">
        <v>90349.29</v>
      </c>
    </row>
    <row r="30" spans="1:12" ht="15" thickBot="1" x14ac:dyDescent="0.25">
      <c r="A30" s="1" t="s">
        <v>46</v>
      </c>
      <c r="B30" s="62" t="s">
        <v>47</v>
      </c>
      <c r="C30" s="10">
        <f>15*2080</f>
        <v>31200</v>
      </c>
      <c r="D30" s="10">
        <f>15*2080</f>
        <v>31200</v>
      </c>
      <c r="E30" s="11">
        <v>32448</v>
      </c>
      <c r="F30" s="124">
        <v>16224</v>
      </c>
      <c r="G30" s="11">
        <f t="shared" si="3"/>
        <v>16224</v>
      </c>
      <c r="H30" s="135">
        <v>32448</v>
      </c>
      <c r="I30" s="9"/>
      <c r="J30" s="63">
        <v>33421.440000000002</v>
      </c>
    </row>
    <row r="31" spans="1:12" ht="15" thickBot="1" x14ac:dyDescent="0.25">
      <c r="A31" s="1" t="s">
        <v>48</v>
      </c>
      <c r="B31" s="62" t="s">
        <v>49</v>
      </c>
      <c r="C31" s="10">
        <v>1000</v>
      </c>
      <c r="D31" s="10">
        <v>1000</v>
      </c>
      <c r="E31" s="11">
        <v>1000</v>
      </c>
      <c r="F31" s="124">
        <v>0</v>
      </c>
      <c r="G31" s="11">
        <f t="shared" si="3"/>
        <v>1000</v>
      </c>
      <c r="H31" s="135">
        <v>1000</v>
      </c>
      <c r="I31" s="9"/>
      <c r="J31" s="63">
        <v>1000</v>
      </c>
    </row>
    <row r="32" spans="1:12" ht="15" thickBot="1" x14ac:dyDescent="0.25">
      <c r="A32" s="1" t="s">
        <v>229</v>
      </c>
      <c r="B32" s="62" t="s">
        <v>50</v>
      </c>
      <c r="C32" s="10">
        <f>(C29+C30+C31)*7.65%</f>
        <v>8915.4056249999994</v>
      </c>
      <c r="D32" s="10">
        <f>(D29+D30+D31)*7.65%</f>
        <v>8915.4056249999994</v>
      </c>
      <c r="E32" s="11">
        <v>9269.18</v>
      </c>
      <c r="F32" s="124">
        <v>4860.75</v>
      </c>
      <c r="G32" s="11">
        <f t="shared" si="3"/>
        <v>4408.43</v>
      </c>
      <c r="H32" s="135">
        <v>9269.18</v>
      </c>
      <c r="I32" s="9"/>
      <c r="J32" s="63">
        <v>9544.9599999999991</v>
      </c>
    </row>
    <row r="33" spans="1:12" ht="15" thickBot="1" x14ac:dyDescent="0.25">
      <c r="A33" s="1" t="s">
        <v>207</v>
      </c>
      <c r="B33" s="62" t="s">
        <v>51</v>
      </c>
      <c r="C33" s="10">
        <f>(C29*12.99%)+(C30*7.22%)+(C31*7.22%)</f>
        <v>13280.768375000001</v>
      </c>
      <c r="D33" s="10">
        <f>(D29*12.99%)+(D30*7.22%)+(D31*7.22%)</f>
        <v>13280.768375000001</v>
      </c>
      <c r="E33" s="11">
        <v>13909.83</v>
      </c>
      <c r="F33" s="124">
        <v>8232.9699999999993</v>
      </c>
      <c r="G33" s="11">
        <f t="shared" si="3"/>
        <v>5676.8600000000006</v>
      </c>
      <c r="H33" s="135">
        <v>13909.83</v>
      </c>
      <c r="I33" s="9"/>
      <c r="J33" s="63">
        <v>20506.5</v>
      </c>
    </row>
    <row r="34" spans="1:12" ht="15" thickBot="1" x14ac:dyDescent="0.25">
      <c r="A34" s="1" t="s">
        <v>52</v>
      </c>
      <c r="B34" s="62" t="s">
        <v>53</v>
      </c>
      <c r="C34" s="10">
        <f>7740.18*2</f>
        <v>15480.36</v>
      </c>
      <c r="D34" s="10">
        <f>7740.18*2</f>
        <v>15480.36</v>
      </c>
      <c r="E34" s="11">
        <f>7905.74*2</f>
        <v>15811.48</v>
      </c>
      <c r="F34" s="124">
        <v>7529.28</v>
      </c>
      <c r="G34" s="11">
        <f t="shared" si="3"/>
        <v>8282.2000000000007</v>
      </c>
      <c r="H34" s="135">
        <f>7905.74*2</f>
        <v>15811.48</v>
      </c>
      <c r="I34" s="9"/>
      <c r="J34" s="63">
        <v>15585.61</v>
      </c>
    </row>
    <row r="35" spans="1:12" ht="15" thickBot="1" x14ac:dyDescent="0.25">
      <c r="A35" s="1" t="s">
        <v>226</v>
      </c>
      <c r="B35" s="62" t="s">
        <v>54</v>
      </c>
      <c r="C35" s="10">
        <f>137.4*2</f>
        <v>274.8</v>
      </c>
      <c r="D35" s="10">
        <f>137.4*2</f>
        <v>274.8</v>
      </c>
      <c r="E35" s="11">
        <f>137.4*2</f>
        <v>274.8</v>
      </c>
      <c r="F35" s="124">
        <v>247.5</v>
      </c>
      <c r="G35" s="11">
        <f t="shared" si="3"/>
        <v>27.300000000000011</v>
      </c>
      <c r="H35" s="135">
        <f>137.4*2</f>
        <v>274.8</v>
      </c>
      <c r="I35" s="9"/>
      <c r="J35" s="63">
        <v>284.42</v>
      </c>
    </row>
    <row r="36" spans="1:12" ht="15" thickBot="1" x14ac:dyDescent="0.25">
      <c r="A36" s="1" t="s">
        <v>221</v>
      </c>
      <c r="B36" s="62" t="s">
        <v>55</v>
      </c>
      <c r="C36" s="110">
        <v>1820.7</v>
      </c>
      <c r="D36" s="110">
        <v>1820.7</v>
      </c>
      <c r="E36" s="111">
        <v>2050</v>
      </c>
      <c r="F36" s="125">
        <v>0</v>
      </c>
      <c r="G36" s="111">
        <f t="shared" si="3"/>
        <v>2050</v>
      </c>
      <c r="H36" s="136">
        <v>2050</v>
      </c>
      <c r="I36" s="116"/>
      <c r="J36" s="85">
        <v>2533.44</v>
      </c>
    </row>
    <row r="37" spans="1:12" s="106" customFormat="1" ht="16.5" thickTop="1" thickBot="1" x14ac:dyDescent="0.3">
      <c r="A37" s="7" t="s">
        <v>215</v>
      </c>
      <c r="B37" s="118"/>
      <c r="C37" s="22">
        <f t="shared" ref="C37:H37" si="4">SUM(C29:C36)</f>
        <v>156313.28399999999</v>
      </c>
      <c r="D37" s="22">
        <f t="shared" si="4"/>
        <v>156313.28399999999</v>
      </c>
      <c r="E37" s="23">
        <f t="shared" si="4"/>
        <v>162481.04999999999</v>
      </c>
      <c r="F37" s="22">
        <f t="shared" si="4"/>
        <v>80953.37999999999</v>
      </c>
      <c r="G37" s="23">
        <f t="shared" si="4"/>
        <v>81527.67</v>
      </c>
      <c r="H37" s="143">
        <f t="shared" si="4"/>
        <v>162481.04999999999</v>
      </c>
      <c r="I37" s="24"/>
      <c r="J37" s="109">
        <f>SUM(J29:J36)</f>
        <v>173225.66</v>
      </c>
      <c r="K37" s="154"/>
      <c r="L37" s="155"/>
    </row>
    <row r="38" spans="1:12" ht="15" thickBot="1" x14ac:dyDescent="0.3">
      <c r="A38" s="1"/>
      <c r="B38" s="62"/>
      <c r="C38" s="10"/>
      <c r="D38" s="10"/>
      <c r="E38" s="11"/>
      <c r="F38" s="10"/>
      <c r="G38" s="11"/>
      <c r="H38" s="135"/>
      <c r="I38" s="9"/>
      <c r="J38" s="63"/>
    </row>
    <row r="39" spans="1:12" ht="15" thickBot="1" x14ac:dyDescent="0.25">
      <c r="A39" s="1" t="s">
        <v>56</v>
      </c>
      <c r="B39" s="62" t="s">
        <v>57</v>
      </c>
      <c r="C39" s="10">
        <v>35000</v>
      </c>
      <c r="D39" s="10">
        <v>35000</v>
      </c>
      <c r="E39" s="11">
        <v>35000</v>
      </c>
      <c r="F39" s="124">
        <v>5748</v>
      </c>
      <c r="G39" s="57">
        <f t="shared" ref="G39:G54" si="5">E39-F39</f>
        <v>29252</v>
      </c>
      <c r="H39" s="135">
        <v>35000</v>
      </c>
      <c r="I39" s="9"/>
      <c r="J39" s="63">
        <v>35000</v>
      </c>
    </row>
    <row r="40" spans="1:12" ht="15" thickBot="1" x14ac:dyDescent="0.25">
      <c r="A40" s="20" t="s">
        <v>58</v>
      </c>
      <c r="B40" s="86" t="s">
        <v>59</v>
      </c>
      <c r="C40" s="25">
        <v>4380</v>
      </c>
      <c r="D40" s="25">
        <v>4380</v>
      </c>
      <c r="E40" s="26">
        <v>4650</v>
      </c>
      <c r="F40" s="124">
        <v>1800</v>
      </c>
      <c r="G40" s="57">
        <f t="shared" si="5"/>
        <v>2850</v>
      </c>
      <c r="H40" s="139">
        <v>4650</v>
      </c>
      <c r="I40" s="27"/>
      <c r="J40" s="63">
        <v>4700</v>
      </c>
    </row>
    <row r="41" spans="1:12" ht="15" thickBot="1" x14ac:dyDescent="0.25">
      <c r="A41" s="1" t="s">
        <v>60</v>
      </c>
      <c r="B41" s="62" t="s">
        <v>61</v>
      </c>
      <c r="C41" s="10">
        <v>14000</v>
      </c>
      <c r="D41" s="10">
        <v>14000</v>
      </c>
      <c r="E41" s="11">
        <v>14000</v>
      </c>
      <c r="F41" s="124">
        <v>6012.5</v>
      </c>
      <c r="G41" s="57">
        <f t="shared" si="5"/>
        <v>7987.5</v>
      </c>
      <c r="H41" s="135">
        <v>14000</v>
      </c>
      <c r="I41" s="9"/>
      <c r="J41" s="63">
        <v>14000</v>
      </c>
    </row>
    <row r="42" spans="1:12" ht="15" thickBot="1" x14ac:dyDescent="0.25">
      <c r="A42" s="1" t="s">
        <v>62</v>
      </c>
      <c r="B42" s="62" t="s">
        <v>63</v>
      </c>
      <c r="C42" s="10">
        <v>25000</v>
      </c>
      <c r="D42" s="10">
        <v>25000</v>
      </c>
      <c r="E42" s="11">
        <v>28500</v>
      </c>
      <c r="F42" s="128">
        <v>21000</v>
      </c>
      <c r="G42" s="57">
        <f t="shared" si="5"/>
        <v>7500</v>
      </c>
      <c r="H42" s="135">
        <v>28500</v>
      </c>
      <c r="I42" s="9"/>
      <c r="J42" s="63">
        <v>28500</v>
      </c>
    </row>
    <row r="43" spans="1:12" ht="15" thickBot="1" x14ac:dyDescent="0.25">
      <c r="A43" s="1" t="s">
        <v>64</v>
      </c>
      <c r="B43" s="62" t="s">
        <v>65</v>
      </c>
      <c r="C43" s="10">
        <v>15000</v>
      </c>
      <c r="D43" s="10">
        <v>15000</v>
      </c>
      <c r="E43" s="11">
        <v>15750</v>
      </c>
      <c r="F43" s="124">
        <v>14708.76</v>
      </c>
      <c r="G43" s="57">
        <f t="shared" si="5"/>
        <v>1041.2399999999998</v>
      </c>
      <c r="H43" s="135">
        <v>15750</v>
      </c>
      <c r="I43" s="9"/>
      <c r="J43" s="63">
        <v>16000</v>
      </c>
    </row>
    <row r="44" spans="1:12" ht="15" thickBot="1" x14ac:dyDescent="0.25">
      <c r="A44" s="1" t="s">
        <v>223</v>
      </c>
      <c r="B44" s="62" t="s">
        <v>66</v>
      </c>
      <c r="C44" s="10">
        <v>5000</v>
      </c>
      <c r="D44" s="10">
        <v>5000</v>
      </c>
      <c r="E44" s="11">
        <v>5200</v>
      </c>
      <c r="F44" s="128">
        <v>29537.18</v>
      </c>
      <c r="G44" s="57">
        <f t="shared" si="5"/>
        <v>-24337.18</v>
      </c>
      <c r="H44" s="135">
        <v>5200</v>
      </c>
      <c r="I44" s="9"/>
      <c r="J44" s="63">
        <v>31200</v>
      </c>
    </row>
    <row r="45" spans="1:12" ht="15" thickBot="1" x14ac:dyDescent="0.25">
      <c r="A45" s="1" t="s">
        <v>67</v>
      </c>
      <c r="B45" s="62" t="s">
        <v>68</v>
      </c>
      <c r="C45" s="10">
        <v>1800</v>
      </c>
      <c r="D45" s="10">
        <v>1800</v>
      </c>
      <c r="E45" s="11">
        <v>1800</v>
      </c>
      <c r="F45" s="124">
        <v>0</v>
      </c>
      <c r="G45" s="58">
        <f t="shared" si="5"/>
        <v>1800</v>
      </c>
      <c r="H45" s="135">
        <v>1800</v>
      </c>
      <c r="I45" s="9"/>
      <c r="J45" s="63">
        <v>1200</v>
      </c>
    </row>
    <row r="46" spans="1:12" ht="15" thickBot="1" x14ac:dyDescent="0.25">
      <c r="A46" s="1" t="s">
        <v>69</v>
      </c>
      <c r="B46" s="62" t="s">
        <v>70</v>
      </c>
      <c r="C46" s="10">
        <v>2000</v>
      </c>
      <c r="D46" s="10">
        <v>2000</v>
      </c>
      <c r="E46" s="11">
        <v>2000</v>
      </c>
      <c r="F46" s="124">
        <v>909.71</v>
      </c>
      <c r="G46" s="11">
        <f t="shared" si="5"/>
        <v>1090.29</v>
      </c>
      <c r="H46" s="135">
        <v>2000</v>
      </c>
      <c r="I46" s="9"/>
      <c r="J46" s="63">
        <v>3120</v>
      </c>
    </row>
    <row r="47" spans="1:12" ht="15" thickBot="1" x14ac:dyDescent="0.25">
      <c r="A47" s="1" t="s">
        <v>71</v>
      </c>
      <c r="B47" s="62" t="s">
        <v>72</v>
      </c>
      <c r="C47" s="10">
        <v>400</v>
      </c>
      <c r="D47" s="10">
        <v>400</v>
      </c>
      <c r="E47" s="11">
        <v>375</v>
      </c>
      <c r="F47" s="124">
        <v>98</v>
      </c>
      <c r="G47" s="11">
        <f t="shared" si="5"/>
        <v>277</v>
      </c>
      <c r="H47" s="135">
        <v>375</v>
      </c>
      <c r="I47" s="9"/>
      <c r="J47" s="63">
        <v>375</v>
      </c>
    </row>
    <row r="48" spans="1:12" ht="15" thickBot="1" x14ac:dyDescent="0.25">
      <c r="A48" s="1" t="s">
        <v>73</v>
      </c>
      <c r="B48" s="62" t="s">
        <v>74</v>
      </c>
      <c r="C48" s="10">
        <v>1250</v>
      </c>
      <c r="D48" s="10">
        <v>1250</v>
      </c>
      <c r="E48" s="11">
        <v>1500</v>
      </c>
      <c r="F48" s="124">
        <v>599.36</v>
      </c>
      <c r="G48" s="11">
        <f t="shared" si="5"/>
        <v>900.64</v>
      </c>
      <c r="H48" s="135">
        <v>1500</v>
      </c>
      <c r="I48" s="9"/>
      <c r="J48" s="63">
        <v>1500</v>
      </c>
    </row>
    <row r="49" spans="1:12" ht="15" thickBot="1" x14ac:dyDescent="0.25">
      <c r="A49" s="1" t="s">
        <v>75</v>
      </c>
      <c r="B49" s="62" t="s">
        <v>76</v>
      </c>
      <c r="C49" s="10">
        <v>1200</v>
      </c>
      <c r="D49" s="10">
        <v>1200</v>
      </c>
      <c r="E49" s="11">
        <v>1000</v>
      </c>
      <c r="F49" s="124">
        <v>0</v>
      </c>
      <c r="G49" s="11">
        <f t="shared" si="5"/>
        <v>1000</v>
      </c>
      <c r="H49" s="135">
        <v>1000</v>
      </c>
      <c r="I49" s="9"/>
      <c r="J49" s="63">
        <v>1000</v>
      </c>
    </row>
    <row r="50" spans="1:12" ht="15" thickBot="1" x14ac:dyDescent="0.25">
      <c r="A50" s="1" t="s">
        <v>77</v>
      </c>
      <c r="B50" s="62" t="s">
        <v>78</v>
      </c>
      <c r="C50" s="10">
        <v>8250</v>
      </c>
      <c r="D50" s="10">
        <v>8250</v>
      </c>
      <c r="E50" s="11">
        <v>8250</v>
      </c>
      <c r="F50" s="124">
        <v>3653.68</v>
      </c>
      <c r="G50" s="11">
        <f t="shared" si="5"/>
        <v>4596.32</v>
      </c>
      <c r="H50" s="135">
        <v>8250</v>
      </c>
      <c r="I50" s="9"/>
      <c r="J50" s="63">
        <v>7239</v>
      </c>
    </row>
    <row r="51" spans="1:12" ht="15" thickBot="1" x14ac:dyDescent="0.25">
      <c r="A51" s="1" t="s">
        <v>79</v>
      </c>
      <c r="B51" s="62" t="s">
        <v>80</v>
      </c>
      <c r="C51" s="10">
        <v>4000</v>
      </c>
      <c r="D51" s="10">
        <v>4000</v>
      </c>
      <c r="E51" s="11">
        <v>4000</v>
      </c>
      <c r="F51" s="124">
        <v>2637.41</v>
      </c>
      <c r="G51" s="11">
        <f t="shared" si="5"/>
        <v>1362.5900000000001</v>
      </c>
      <c r="H51" s="135">
        <v>4000</v>
      </c>
      <c r="I51" s="9"/>
      <c r="J51" s="63">
        <v>4000</v>
      </c>
    </row>
    <row r="52" spans="1:12" ht="15" thickBot="1" x14ac:dyDescent="0.25">
      <c r="A52" s="1" t="s">
        <v>81</v>
      </c>
      <c r="B52" s="62" t="s">
        <v>82</v>
      </c>
      <c r="C52" s="10">
        <v>4000</v>
      </c>
      <c r="D52" s="10">
        <v>4000</v>
      </c>
      <c r="E52" s="11">
        <v>4199.8900000000003</v>
      </c>
      <c r="F52" s="124">
        <v>775.87</v>
      </c>
      <c r="G52" s="11">
        <f t="shared" si="5"/>
        <v>3424.0200000000004</v>
      </c>
      <c r="H52" s="135">
        <v>4199.8900000000003</v>
      </c>
      <c r="I52" s="9"/>
      <c r="J52" s="63">
        <v>4000</v>
      </c>
    </row>
    <row r="53" spans="1:12" ht="15" thickBot="1" x14ac:dyDescent="0.25">
      <c r="A53" s="1" t="s">
        <v>83</v>
      </c>
      <c r="B53" s="62" t="s">
        <v>84</v>
      </c>
      <c r="C53" s="10">
        <v>550</v>
      </c>
      <c r="D53" s="10">
        <v>550</v>
      </c>
      <c r="E53" s="11">
        <v>1575</v>
      </c>
      <c r="F53" s="124">
        <v>148.65</v>
      </c>
      <c r="G53" s="11">
        <f t="shared" si="5"/>
        <v>1426.35</v>
      </c>
      <c r="H53" s="135">
        <v>1575</v>
      </c>
      <c r="I53" s="9"/>
      <c r="J53" s="63">
        <v>1500</v>
      </c>
    </row>
    <row r="54" spans="1:12" ht="15" thickBot="1" x14ac:dyDescent="0.25">
      <c r="A54" s="20" t="s">
        <v>85</v>
      </c>
      <c r="B54" s="79" t="s">
        <v>86</v>
      </c>
      <c r="C54" s="110">
        <v>2500</v>
      </c>
      <c r="D54" s="110">
        <v>2500</v>
      </c>
      <c r="E54" s="111">
        <v>2500</v>
      </c>
      <c r="F54" s="125">
        <v>0</v>
      </c>
      <c r="G54" s="111">
        <f t="shared" si="5"/>
        <v>2500</v>
      </c>
      <c r="H54" s="136">
        <v>2500</v>
      </c>
      <c r="I54" s="116"/>
      <c r="J54" s="85">
        <v>1000</v>
      </c>
    </row>
    <row r="55" spans="1:12" s="106" customFormat="1" ht="16.5" thickTop="1" thickBot="1" x14ac:dyDescent="0.3">
      <c r="A55" s="7" t="s">
        <v>87</v>
      </c>
      <c r="B55" s="78"/>
      <c r="C55" s="22">
        <f>SUM(C37:C54)</f>
        <v>280643.28399999999</v>
      </c>
      <c r="D55" s="22">
        <f>SUM(D37:D54)</f>
        <v>280643.28399999999</v>
      </c>
      <c r="E55" s="23">
        <f>SUM(E37:E54)</f>
        <v>292780.94</v>
      </c>
      <c r="F55" s="22">
        <f>SUM(F39:F54)</f>
        <v>87629.119999999995</v>
      </c>
      <c r="G55" s="23">
        <f>SUM(G37:G54)</f>
        <v>124198.44000000002</v>
      </c>
      <c r="H55" s="143">
        <f>SUM(H37:H54)</f>
        <v>292780.94</v>
      </c>
      <c r="I55" s="55"/>
      <c r="J55" s="109">
        <f>SUM(J37:J54)</f>
        <v>327559.66000000003</v>
      </c>
      <c r="K55" s="154"/>
      <c r="L55" s="155"/>
    </row>
    <row r="56" spans="1:12" ht="15" x14ac:dyDescent="0.25">
      <c r="A56" s="28"/>
      <c r="B56" s="87"/>
      <c r="C56" s="29"/>
      <c r="D56" s="29"/>
      <c r="E56" s="30"/>
      <c r="F56" s="29"/>
      <c r="G56" s="30"/>
      <c r="H56" s="144"/>
      <c r="I56" s="29"/>
      <c r="J56" s="49"/>
    </row>
    <row r="57" spans="1:12" ht="15.75" thickBot="1" x14ac:dyDescent="0.3">
      <c r="A57" s="71" t="s">
        <v>213</v>
      </c>
      <c r="B57" s="76"/>
      <c r="C57" s="2"/>
      <c r="D57" s="2"/>
      <c r="E57" s="2"/>
      <c r="F57" s="2"/>
      <c r="G57" s="8"/>
      <c r="H57" s="132"/>
      <c r="I57" s="72"/>
      <c r="J57" s="88"/>
    </row>
    <row r="58" spans="1:12" ht="15" thickBot="1" x14ac:dyDescent="0.25">
      <c r="A58" s="31" t="s">
        <v>228</v>
      </c>
      <c r="B58" s="89" t="s">
        <v>88</v>
      </c>
      <c r="C58" s="10">
        <v>99560</v>
      </c>
      <c r="D58" s="10">
        <v>99560</v>
      </c>
      <c r="E58" s="11">
        <v>110000</v>
      </c>
      <c r="F58" s="124">
        <v>59795.51</v>
      </c>
      <c r="G58" s="11">
        <f>E58-F58</f>
        <v>50204.49</v>
      </c>
      <c r="H58" s="135">
        <v>110000</v>
      </c>
      <c r="I58" s="9"/>
      <c r="J58" s="90">
        <v>120000</v>
      </c>
    </row>
    <row r="59" spans="1:12" ht="15" thickBot="1" x14ac:dyDescent="0.25">
      <c r="A59" s="1" t="s">
        <v>89</v>
      </c>
      <c r="B59" s="91" t="s">
        <v>90</v>
      </c>
      <c r="C59" s="10">
        <v>5000</v>
      </c>
      <c r="D59" s="10">
        <v>5000</v>
      </c>
      <c r="E59" s="11">
        <v>5000</v>
      </c>
      <c r="F59" s="124">
        <v>0</v>
      </c>
      <c r="G59" s="11">
        <v>5000</v>
      </c>
      <c r="H59" s="135">
        <v>5000</v>
      </c>
      <c r="I59" s="9"/>
      <c r="J59" s="92">
        <v>5000</v>
      </c>
    </row>
    <row r="60" spans="1:12" ht="15" thickBot="1" x14ac:dyDescent="0.25">
      <c r="A60" s="37" t="s">
        <v>91</v>
      </c>
      <c r="B60" s="93" t="s">
        <v>92</v>
      </c>
      <c r="C60" s="10">
        <f>153274.16*51%</f>
        <v>78169.82160000001</v>
      </c>
      <c r="D60" s="10">
        <f>153274.16*51%</f>
        <v>78169.82160000001</v>
      </c>
      <c r="E60" s="11">
        <v>81130.63</v>
      </c>
      <c r="F60" s="124">
        <v>35673.980000000003</v>
      </c>
      <c r="G60" s="11">
        <f t="shared" ref="G60:G80" si="6">E60-F60</f>
        <v>45456.65</v>
      </c>
      <c r="H60" s="135">
        <v>81130.63</v>
      </c>
      <c r="I60" s="9"/>
      <c r="J60" s="63">
        <v>82012.36</v>
      </c>
    </row>
    <row r="61" spans="1:12" ht="15" thickBot="1" x14ac:dyDescent="0.25">
      <c r="A61" s="37" t="s">
        <v>93</v>
      </c>
      <c r="B61" s="93" t="s">
        <v>94</v>
      </c>
      <c r="C61" s="33">
        <f>153274.16*43%</f>
        <v>65907.888800000001</v>
      </c>
      <c r="D61" s="33">
        <f>153274.16*43%</f>
        <v>65907.888800000001</v>
      </c>
      <c r="E61" s="34">
        <v>68404.25</v>
      </c>
      <c r="F61" s="124">
        <v>30078.080000000002</v>
      </c>
      <c r="G61" s="59">
        <f t="shared" si="6"/>
        <v>38326.17</v>
      </c>
      <c r="H61" s="141">
        <v>68404.25</v>
      </c>
      <c r="I61" s="35"/>
      <c r="J61" s="63">
        <v>69147.67</v>
      </c>
    </row>
    <row r="62" spans="1:12" ht="15" thickBot="1" x14ac:dyDescent="0.25">
      <c r="A62" s="37" t="s">
        <v>95</v>
      </c>
      <c r="B62" s="93" t="s">
        <v>96</v>
      </c>
      <c r="C62" s="10">
        <f>153274.16*6%</f>
        <v>9196.4495999999999</v>
      </c>
      <c r="D62" s="10">
        <f>153274.16*6%</f>
        <v>9196.4495999999999</v>
      </c>
      <c r="E62" s="11">
        <v>9544.7800000000007</v>
      </c>
      <c r="F62" s="124">
        <v>4196.91</v>
      </c>
      <c r="G62" s="11">
        <f t="shared" si="6"/>
        <v>5347.8700000000008</v>
      </c>
      <c r="H62" s="135">
        <v>9544.7800000000007</v>
      </c>
      <c r="I62" s="9"/>
      <c r="J62" s="63">
        <v>9648.51</v>
      </c>
    </row>
    <row r="63" spans="1:12" ht="15" thickBot="1" x14ac:dyDescent="0.25">
      <c r="A63" s="32" t="s">
        <v>97</v>
      </c>
      <c r="B63" s="94" t="s">
        <v>98</v>
      </c>
      <c r="C63" s="33">
        <v>12750</v>
      </c>
      <c r="D63" s="33">
        <v>12750</v>
      </c>
      <c r="E63" s="34">
        <v>12750</v>
      </c>
      <c r="F63" s="124">
        <v>7475.78</v>
      </c>
      <c r="G63" s="11">
        <f t="shared" si="6"/>
        <v>5274.22</v>
      </c>
      <c r="H63" s="141">
        <v>12750</v>
      </c>
      <c r="I63" s="35"/>
      <c r="J63" s="63">
        <v>12750</v>
      </c>
    </row>
    <row r="64" spans="1:12" ht="15" thickBot="1" x14ac:dyDescent="0.25">
      <c r="A64" s="36" t="s">
        <v>99</v>
      </c>
      <c r="B64" s="95" t="s">
        <v>100</v>
      </c>
      <c r="C64" s="10">
        <v>10750</v>
      </c>
      <c r="D64" s="10">
        <v>10750</v>
      </c>
      <c r="E64" s="11">
        <v>10750</v>
      </c>
      <c r="F64" s="124">
        <v>6303.11</v>
      </c>
      <c r="G64" s="11">
        <f t="shared" si="6"/>
        <v>4446.8900000000003</v>
      </c>
      <c r="H64" s="135">
        <v>10750</v>
      </c>
      <c r="I64" s="9"/>
      <c r="J64" s="63">
        <v>10750</v>
      </c>
    </row>
    <row r="65" spans="1:10" s="61" customFormat="1" ht="15" thickBot="1" x14ac:dyDescent="0.25">
      <c r="A65" s="36" t="s">
        <v>101</v>
      </c>
      <c r="B65" s="93" t="s">
        <v>102</v>
      </c>
      <c r="C65" s="10">
        <v>1500</v>
      </c>
      <c r="D65" s="10">
        <v>1500</v>
      </c>
      <c r="E65" s="11">
        <v>1500</v>
      </c>
      <c r="F65" s="124">
        <v>879.5</v>
      </c>
      <c r="G65" s="11">
        <f t="shared" si="6"/>
        <v>620.5</v>
      </c>
      <c r="H65" s="135">
        <v>1500</v>
      </c>
      <c r="I65" s="9"/>
      <c r="J65" s="63">
        <v>1500</v>
      </c>
    </row>
    <row r="66" spans="1:10" s="61" customFormat="1" ht="15" thickBot="1" x14ac:dyDescent="0.25">
      <c r="A66" s="36" t="s">
        <v>103</v>
      </c>
      <c r="B66" s="96" t="s">
        <v>104</v>
      </c>
      <c r="C66" s="10">
        <f>13855.83*51%</f>
        <v>7066.4732999999997</v>
      </c>
      <c r="D66" s="10">
        <f>13855.83*51%</f>
        <v>7066.4732999999997</v>
      </c>
      <c r="E66" s="11">
        <v>7181.87</v>
      </c>
      <c r="F66" s="124">
        <v>3257.33</v>
      </c>
      <c r="G66" s="11">
        <f t="shared" si="6"/>
        <v>3924.54</v>
      </c>
      <c r="H66" s="135">
        <v>7181.87</v>
      </c>
      <c r="I66" s="9"/>
      <c r="J66" s="63">
        <v>7249.32</v>
      </c>
    </row>
    <row r="67" spans="1:10" s="61" customFormat="1" ht="15" thickBot="1" x14ac:dyDescent="0.25">
      <c r="A67" s="36" t="s">
        <v>105</v>
      </c>
      <c r="B67" s="95" t="s">
        <v>106</v>
      </c>
      <c r="C67" s="10">
        <f>13855.83*43%</f>
        <v>5958.0069000000003</v>
      </c>
      <c r="D67" s="10">
        <f>13855.83*43%</f>
        <v>5958.0069000000003</v>
      </c>
      <c r="E67" s="11">
        <v>6055.3</v>
      </c>
      <c r="F67" s="124">
        <v>2746.36</v>
      </c>
      <c r="G67" s="11">
        <f t="shared" si="6"/>
        <v>3308.94</v>
      </c>
      <c r="H67" s="135">
        <v>6055.3</v>
      </c>
      <c r="I67" s="9"/>
      <c r="J67" s="63">
        <v>6112.17</v>
      </c>
    </row>
    <row r="68" spans="1:10" s="61" customFormat="1" ht="15" thickBot="1" x14ac:dyDescent="0.25">
      <c r="A68" s="36" t="s">
        <v>107</v>
      </c>
      <c r="B68" s="93" t="s">
        <v>108</v>
      </c>
      <c r="C68" s="10">
        <f>13855.83*6%</f>
        <v>831.34979999999996</v>
      </c>
      <c r="D68" s="10">
        <f>13855.83*6%</f>
        <v>831.34979999999996</v>
      </c>
      <c r="E68" s="11">
        <v>844.93</v>
      </c>
      <c r="F68" s="124">
        <v>383.21</v>
      </c>
      <c r="G68" s="11">
        <f t="shared" si="6"/>
        <v>461.71999999999997</v>
      </c>
      <c r="H68" s="135">
        <v>844.93</v>
      </c>
      <c r="I68" s="9"/>
      <c r="J68" s="63">
        <v>852.86</v>
      </c>
    </row>
    <row r="69" spans="1:10" s="61" customFormat="1" ht="15" thickBot="1" x14ac:dyDescent="0.25">
      <c r="A69" s="36" t="s">
        <v>109</v>
      </c>
      <c r="B69" s="93" t="s">
        <v>110</v>
      </c>
      <c r="C69" s="10">
        <f>13620.37*51%</f>
        <v>6946.3887000000004</v>
      </c>
      <c r="D69" s="10">
        <f>13620.37*51%</f>
        <v>6946.3887000000004</v>
      </c>
      <c r="E69" s="11">
        <v>7059.82</v>
      </c>
      <c r="F69" s="124">
        <v>3987.92</v>
      </c>
      <c r="G69" s="11">
        <f t="shared" si="6"/>
        <v>3071.8999999999996</v>
      </c>
      <c r="H69" s="135">
        <v>7059.82</v>
      </c>
      <c r="I69" s="9"/>
      <c r="J69" s="63">
        <v>7872.37</v>
      </c>
    </row>
    <row r="70" spans="1:10" s="61" customFormat="1" ht="15" thickBot="1" x14ac:dyDescent="0.25">
      <c r="A70" s="36" t="s">
        <v>111</v>
      </c>
      <c r="B70" s="93" t="s">
        <v>112</v>
      </c>
      <c r="C70" s="10">
        <f>13620.37*43%</f>
        <v>5856.7591000000002</v>
      </c>
      <c r="D70" s="10">
        <f>13620.37*43%</f>
        <v>5856.7591000000002</v>
      </c>
      <c r="E70" s="11">
        <v>5952.4</v>
      </c>
      <c r="F70" s="124">
        <v>3362.36</v>
      </c>
      <c r="G70" s="11">
        <f t="shared" si="6"/>
        <v>2590.0399999999995</v>
      </c>
      <c r="H70" s="135">
        <v>5952.4</v>
      </c>
      <c r="I70" s="38"/>
      <c r="J70" s="63">
        <v>6599.55</v>
      </c>
    </row>
    <row r="71" spans="1:10" s="61" customFormat="1" ht="15" thickBot="1" x14ac:dyDescent="0.25">
      <c r="A71" s="36" t="s">
        <v>113</v>
      </c>
      <c r="B71" s="93" t="s">
        <v>114</v>
      </c>
      <c r="C71" s="10">
        <f>13620.37*6%</f>
        <v>817.22220000000004</v>
      </c>
      <c r="D71" s="10">
        <f>13620.37*6%</f>
        <v>817.22220000000004</v>
      </c>
      <c r="E71" s="11">
        <v>830.57</v>
      </c>
      <c r="F71" s="124">
        <v>469.11</v>
      </c>
      <c r="G71" s="11">
        <f t="shared" si="6"/>
        <v>361.46000000000004</v>
      </c>
      <c r="H71" s="135">
        <v>830.57</v>
      </c>
      <c r="I71" s="38"/>
      <c r="J71" s="63">
        <v>920.87</v>
      </c>
    </row>
    <row r="72" spans="1:10" s="61" customFormat="1" ht="15" thickBot="1" x14ac:dyDescent="0.25">
      <c r="A72" s="1" t="s">
        <v>115</v>
      </c>
      <c r="B72" s="73" t="s">
        <v>116</v>
      </c>
      <c r="C72" s="10">
        <v>21853.200000000001</v>
      </c>
      <c r="D72" s="10">
        <v>21853.200000000001</v>
      </c>
      <c r="E72" s="11">
        <v>22204.91</v>
      </c>
      <c r="F72" s="124">
        <v>5759.88</v>
      </c>
      <c r="G72" s="11">
        <f t="shared" si="6"/>
        <v>16445.03</v>
      </c>
      <c r="H72" s="135">
        <v>22204.91</v>
      </c>
      <c r="I72" s="38"/>
      <c r="J72" s="63">
        <f>15897.32+5990.38</f>
        <v>21887.7</v>
      </c>
    </row>
    <row r="73" spans="1:10" s="61" customFormat="1" ht="15" thickBot="1" x14ac:dyDescent="0.25">
      <c r="A73" s="1" t="s">
        <v>117</v>
      </c>
      <c r="B73" s="73" t="s">
        <v>118</v>
      </c>
      <c r="C73" s="10">
        <v>18425.25</v>
      </c>
      <c r="D73" s="10">
        <v>18425.25</v>
      </c>
      <c r="E73" s="11">
        <v>18721.78</v>
      </c>
      <c r="F73" s="124">
        <v>4856.3999999999996</v>
      </c>
      <c r="G73" s="11">
        <f t="shared" si="6"/>
        <v>13865.38</v>
      </c>
      <c r="H73" s="135">
        <v>18721.78</v>
      </c>
      <c r="I73" s="38"/>
      <c r="J73" s="63">
        <f>13403.62+5050.71</f>
        <v>18454.330000000002</v>
      </c>
    </row>
    <row r="74" spans="1:10" s="61" customFormat="1" ht="15" thickBot="1" x14ac:dyDescent="0.25">
      <c r="A74" s="1" t="s">
        <v>119</v>
      </c>
      <c r="B74" s="73" t="s">
        <v>120</v>
      </c>
      <c r="C74" s="10">
        <v>2570.96</v>
      </c>
      <c r="D74" s="10">
        <v>2570.96</v>
      </c>
      <c r="E74" s="11">
        <v>2612.34</v>
      </c>
      <c r="F74" s="124">
        <v>677.64</v>
      </c>
      <c r="G74" s="11">
        <f t="shared" si="6"/>
        <v>1934.7000000000003</v>
      </c>
      <c r="H74" s="135">
        <v>2612.34</v>
      </c>
      <c r="I74" s="38"/>
      <c r="J74" s="63">
        <f>1870.27+704.75</f>
        <v>2575.02</v>
      </c>
    </row>
    <row r="75" spans="1:10" s="61" customFormat="1" ht="15" thickBot="1" x14ac:dyDescent="0.3">
      <c r="A75" s="36" t="s">
        <v>121</v>
      </c>
      <c r="B75" s="93" t="s">
        <v>122</v>
      </c>
      <c r="C75" s="10">
        <f>(137.4*4)*51%</f>
        <v>280.29599999999999</v>
      </c>
      <c r="D75" s="10">
        <f>(137.4*4)*51%</f>
        <v>280.29599999999999</v>
      </c>
      <c r="E75" s="11">
        <v>280.3</v>
      </c>
      <c r="F75" s="11">
        <v>0</v>
      </c>
      <c r="G75" s="39">
        <f t="shared" si="6"/>
        <v>280.3</v>
      </c>
      <c r="H75" s="135">
        <v>280.3</v>
      </c>
      <c r="I75" s="38"/>
      <c r="J75" s="63">
        <v>290.11</v>
      </c>
    </row>
    <row r="76" spans="1:10" s="61" customFormat="1" ht="15" thickBot="1" x14ac:dyDescent="0.3">
      <c r="A76" s="1" t="s">
        <v>123</v>
      </c>
      <c r="B76" s="73" t="s">
        <v>124</v>
      </c>
      <c r="C76" s="10">
        <f>(137.4*4)*43%</f>
        <v>236.328</v>
      </c>
      <c r="D76" s="10">
        <f>(137.4*4)*43%</f>
        <v>236.328</v>
      </c>
      <c r="E76" s="11">
        <v>236.33</v>
      </c>
      <c r="F76" s="11">
        <v>0</v>
      </c>
      <c r="G76" s="39">
        <f t="shared" si="6"/>
        <v>236.33</v>
      </c>
      <c r="H76" s="135">
        <v>236.33</v>
      </c>
      <c r="I76" s="38"/>
      <c r="J76" s="63">
        <v>244.6</v>
      </c>
    </row>
    <row r="77" spans="1:10" s="61" customFormat="1" ht="15" thickBot="1" x14ac:dyDescent="0.3">
      <c r="A77" s="32" t="s">
        <v>125</v>
      </c>
      <c r="B77" s="95" t="s">
        <v>126</v>
      </c>
      <c r="C77" s="10">
        <f>(137.4*4)*6%</f>
        <v>32.975999999999999</v>
      </c>
      <c r="D77" s="10">
        <f>(137.4*4)*6%</f>
        <v>32.975999999999999</v>
      </c>
      <c r="E77" s="11">
        <v>32.979999999999997</v>
      </c>
      <c r="F77" s="11">
        <v>0</v>
      </c>
      <c r="G77" s="39">
        <f t="shared" si="6"/>
        <v>32.979999999999997</v>
      </c>
      <c r="H77" s="135">
        <v>32.979999999999997</v>
      </c>
      <c r="I77" s="38"/>
      <c r="J77" s="63">
        <v>34.130000000000003</v>
      </c>
    </row>
    <row r="78" spans="1:10" s="61" customFormat="1" ht="15" thickBot="1" x14ac:dyDescent="0.3">
      <c r="A78" s="1" t="s">
        <v>127</v>
      </c>
      <c r="B78" s="73" t="s">
        <v>128</v>
      </c>
      <c r="C78" s="10">
        <v>6807.28</v>
      </c>
      <c r="D78" s="10">
        <v>6807.28</v>
      </c>
      <c r="E78" s="39">
        <v>7665.72</v>
      </c>
      <c r="F78" s="11">
        <v>0</v>
      </c>
      <c r="G78" s="39">
        <f t="shared" si="6"/>
        <v>7665.72</v>
      </c>
      <c r="H78" s="145">
        <v>7665.72</v>
      </c>
      <c r="I78" s="38"/>
      <c r="J78" s="63">
        <v>9475.07</v>
      </c>
    </row>
    <row r="79" spans="1:10" s="61" customFormat="1" ht="15" thickBot="1" x14ac:dyDescent="0.3">
      <c r="A79" s="1" t="s">
        <v>129</v>
      </c>
      <c r="B79" s="73" t="s">
        <v>130</v>
      </c>
      <c r="C79" s="10">
        <v>5739.47</v>
      </c>
      <c r="D79" s="10">
        <v>5739.47</v>
      </c>
      <c r="E79" s="11">
        <v>6463.25</v>
      </c>
      <c r="F79" s="11">
        <v>0</v>
      </c>
      <c r="G79" s="39">
        <f t="shared" si="6"/>
        <v>6463.25</v>
      </c>
      <c r="H79" s="135">
        <v>6463.25</v>
      </c>
      <c r="I79" s="38"/>
      <c r="J79" s="63">
        <v>7988.78</v>
      </c>
    </row>
    <row r="80" spans="1:10" s="61" customFormat="1" ht="15" thickBot="1" x14ac:dyDescent="0.3">
      <c r="A80" s="1" t="s">
        <v>131</v>
      </c>
      <c r="B80" s="73" t="s">
        <v>132</v>
      </c>
      <c r="C80" s="10">
        <v>800.85</v>
      </c>
      <c r="D80" s="10">
        <v>800.85</v>
      </c>
      <c r="E80" s="11">
        <v>904.66</v>
      </c>
      <c r="F80" s="11">
        <v>0</v>
      </c>
      <c r="G80" s="39">
        <f t="shared" si="6"/>
        <v>904.66</v>
      </c>
      <c r="H80" s="135">
        <v>904.66</v>
      </c>
      <c r="I80" s="38"/>
      <c r="J80" s="63">
        <v>1114.72</v>
      </c>
    </row>
    <row r="81" spans="1:10" s="61" customFormat="1" ht="15" thickBot="1" x14ac:dyDescent="0.3">
      <c r="A81" s="1"/>
      <c r="B81" s="73"/>
      <c r="C81" s="10"/>
      <c r="D81" s="10"/>
      <c r="E81" s="11"/>
      <c r="F81" s="11"/>
      <c r="G81" s="39"/>
      <c r="H81" s="135"/>
      <c r="I81" s="38"/>
      <c r="J81" s="63"/>
    </row>
    <row r="82" spans="1:10" s="61" customFormat="1" ht="15" thickBot="1" x14ac:dyDescent="0.25">
      <c r="A82" s="1" t="s">
        <v>133</v>
      </c>
      <c r="B82" s="73" t="s">
        <v>134</v>
      </c>
      <c r="C82" s="10">
        <v>5610</v>
      </c>
      <c r="D82" s="10">
        <v>5610</v>
      </c>
      <c r="E82" s="11">
        <f>10000*51%</f>
        <v>5100</v>
      </c>
      <c r="F82" s="124">
        <v>1285.2</v>
      </c>
      <c r="G82" s="39">
        <f t="shared" ref="G82:G110" si="7">E82-F82</f>
        <v>3814.8</v>
      </c>
      <c r="H82" s="135">
        <f>10000*51%</f>
        <v>5100</v>
      </c>
      <c r="I82" s="38"/>
      <c r="J82" s="63">
        <v>5100</v>
      </c>
    </row>
    <row r="83" spans="1:10" s="61" customFormat="1" ht="15" thickBot="1" x14ac:dyDescent="0.25">
      <c r="A83" s="1" t="s">
        <v>135</v>
      </c>
      <c r="B83" s="73" t="s">
        <v>136</v>
      </c>
      <c r="C83" s="10">
        <v>4730</v>
      </c>
      <c r="D83" s="10">
        <v>4730</v>
      </c>
      <c r="E83" s="11">
        <f>10000*43%</f>
        <v>4300</v>
      </c>
      <c r="F83" s="124">
        <v>1083.5999999999999</v>
      </c>
      <c r="G83" s="39">
        <f t="shared" si="7"/>
        <v>3216.4</v>
      </c>
      <c r="H83" s="135">
        <f>10000*43%</f>
        <v>4300</v>
      </c>
      <c r="I83" s="38"/>
      <c r="J83" s="63">
        <v>4300</v>
      </c>
    </row>
    <row r="84" spans="1:10" s="61" customFormat="1" ht="15" thickBot="1" x14ac:dyDescent="0.25">
      <c r="A84" s="1" t="s">
        <v>137</v>
      </c>
      <c r="B84" s="73" t="s">
        <v>138</v>
      </c>
      <c r="C84" s="10">
        <v>660</v>
      </c>
      <c r="D84" s="10">
        <v>660</v>
      </c>
      <c r="E84" s="11">
        <f>10000*6%</f>
        <v>600</v>
      </c>
      <c r="F84" s="129">
        <v>151.19999999999999</v>
      </c>
      <c r="G84" s="39">
        <f t="shared" si="7"/>
        <v>448.8</v>
      </c>
      <c r="H84" s="135">
        <f>10000*6%</f>
        <v>600</v>
      </c>
      <c r="I84" s="38"/>
      <c r="J84" s="63">
        <v>600</v>
      </c>
    </row>
    <row r="85" spans="1:10" s="61" customFormat="1" ht="15" thickBot="1" x14ac:dyDescent="0.25">
      <c r="A85" s="1" t="s">
        <v>139</v>
      </c>
      <c r="B85" s="73" t="s">
        <v>140</v>
      </c>
      <c r="C85" s="10">
        <v>5000</v>
      </c>
      <c r="D85" s="10">
        <v>5000</v>
      </c>
      <c r="E85" s="11">
        <f>11000*51%</f>
        <v>5610</v>
      </c>
      <c r="F85" s="124">
        <v>0</v>
      </c>
      <c r="G85" s="39">
        <f t="shared" si="7"/>
        <v>5610</v>
      </c>
      <c r="H85" s="135">
        <f>11000*51%</f>
        <v>5610</v>
      </c>
      <c r="I85" s="38"/>
      <c r="J85" s="120">
        <v>5610</v>
      </c>
    </row>
    <row r="86" spans="1:10" s="61" customFormat="1" ht="15" thickBot="1" x14ac:dyDescent="0.25">
      <c r="A86" s="32" t="s">
        <v>141</v>
      </c>
      <c r="B86" s="95" t="s">
        <v>142</v>
      </c>
      <c r="C86" s="10">
        <v>2000</v>
      </c>
      <c r="D86" s="10">
        <v>2000</v>
      </c>
      <c r="E86" s="11">
        <f>11000*43%</f>
        <v>4730</v>
      </c>
      <c r="F86" s="124">
        <v>0</v>
      </c>
      <c r="G86" s="39">
        <f t="shared" si="7"/>
        <v>4730</v>
      </c>
      <c r="H86" s="135">
        <f>11000*43%</f>
        <v>4730</v>
      </c>
      <c r="I86" s="38"/>
      <c r="J86" s="120">
        <v>4730</v>
      </c>
    </row>
    <row r="87" spans="1:10" s="61" customFormat="1" ht="15" thickBot="1" x14ac:dyDescent="0.25">
      <c r="A87" s="36" t="s">
        <v>143</v>
      </c>
      <c r="B87" s="93" t="s">
        <v>144</v>
      </c>
      <c r="C87" s="10">
        <v>4000</v>
      </c>
      <c r="D87" s="10">
        <v>4000</v>
      </c>
      <c r="E87" s="11">
        <f>11000*6%</f>
        <v>660</v>
      </c>
      <c r="F87" s="124">
        <v>0</v>
      </c>
      <c r="G87" s="39">
        <f t="shared" si="7"/>
        <v>660</v>
      </c>
      <c r="H87" s="135">
        <f>11000*6%</f>
        <v>660</v>
      </c>
      <c r="I87" s="38"/>
      <c r="J87" s="120">
        <v>660</v>
      </c>
    </row>
    <row r="88" spans="1:10" s="61" customFormat="1" ht="15" thickBot="1" x14ac:dyDescent="0.25">
      <c r="A88" s="36" t="s">
        <v>145</v>
      </c>
      <c r="B88" s="93" t="s">
        <v>146</v>
      </c>
      <c r="C88" s="10">
        <v>1000</v>
      </c>
      <c r="D88" s="10">
        <v>1000</v>
      </c>
      <c r="E88" s="11">
        <v>1000</v>
      </c>
      <c r="F88" s="124">
        <v>0</v>
      </c>
      <c r="G88" s="39">
        <f t="shared" si="7"/>
        <v>1000</v>
      </c>
      <c r="H88" s="135">
        <v>1000</v>
      </c>
      <c r="I88" s="38"/>
      <c r="J88" s="120">
        <v>1000</v>
      </c>
    </row>
    <row r="89" spans="1:10" s="61" customFormat="1" ht="15" thickBot="1" x14ac:dyDescent="0.25">
      <c r="A89" s="36" t="s">
        <v>147</v>
      </c>
      <c r="B89" s="93" t="s">
        <v>148</v>
      </c>
      <c r="C89" s="10">
        <v>1000</v>
      </c>
      <c r="D89" s="10">
        <v>1000</v>
      </c>
      <c r="E89" s="11">
        <v>1000</v>
      </c>
      <c r="F89" s="124">
        <v>0</v>
      </c>
      <c r="G89" s="39">
        <f t="shared" si="7"/>
        <v>1000</v>
      </c>
      <c r="H89" s="135">
        <v>1000</v>
      </c>
      <c r="I89" s="38"/>
      <c r="J89" s="120">
        <v>1000</v>
      </c>
    </row>
    <row r="90" spans="1:10" s="61" customFormat="1" ht="15" thickBot="1" x14ac:dyDescent="0.25">
      <c r="A90" s="36" t="s">
        <v>149</v>
      </c>
      <c r="B90" s="93" t="s">
        <v>150</v>
      </c>
      <c r="C90" s="10">
        <v>3750</v>
      </c>
      <c r="D90" s="10">
        <v>3750</v>
      </c>
      <c r="E90" s="11">
        <v>3750</v>
      </c>
      <c r="F90" s="124">
        <v>0</v>
      </c>
      <c r="G90" s="39">
        <f t="shared" si="7"/>
        <v>3750</v>
      </c>
      <c r="H90" s="135">
        <v>3750</v>
      </c>
      <c r="I90" s="38"/>
      <c r="J90" s="120">
        <v>3750</v>
      </c>
    </row>
    <row r="91" spans="1:10" s="61" customFormat="1" ht="15" thickBot="1" x14ac:dyDescent="0.25">
      <c r="A91" s="1" t="s">
        <v>151</v>
      </c>
      <c r="B91" s="73" t="s">
        <v>152</v>
      </c>
      <c r="C91" s="10">
        <v>0</v>
      </c>
      <c r="D91" s="10">
        <v>0</v>
      </c>
      <c r="E91" s="11">
        <v>1000</v>
      </c>
      <c r="F91" s="124">
        <v>0</v>
      </c>
      <c r="G91" s="39">
        <f t="shared" si="7"/>
        <v>1000</v>
      </c>
      <c r="H91" s="135">
        <v>1000</v>
      </c>
      <c r="I91" s="38"/>
      <c r="J91" s="120">
        <v>1000</v>
      </c>
    </row>
    <row r="92" spans="1:10" s="61" customFormat="1" ht="15" thickBot="1" x14ac:dyDescent="0.25">
      <c r="A92" s="40" t="s">
        <v>153</v>
      </c>
      <c r="B92" s="97" t="s">
        <v>154</v>
      </c>
      <c r="C92" s="10">
        <v>1530</v>
      </c>
      <c r="D92" s="10">
        <v>1530</v>
      </c>
      <c r="E92" s="11">
        <f>3000*51%</f>
        <v>1530</v>
      </c>
      <c r="F92" s="124">
        <v>484.02</v>
      </c>
      <c r="G92" s="39">
        <f t="shared" si="7"/>
        <v>1045.98</v>
      </c>
      <c r="H92" s="135">
        <f>3000*51%</f>
        <v>1530</v>
      </c>
      <c r="I92" s="38"/>
      <c r="J92" s="63">
        <v>1530</v>
      </c>
    </row>
    <row r="93" spans="1:10" s="61" customFormat="1" ht="15" thickBot="1" x14ac:dyDescent="0.25">
      <c r="A93" s="40" t="s">
        <v>155</v>
      </c>
      <c r="B93" s="97" t="s">
        <v>156</v>
      </c>
      <c r="C93" s="10">
        <v>1290</v>
      </c>
      <c r="D93" s="10">
        <v>1290</v>
      </c>
      <c r="E93" s="11">
        <v>1290</v>
      </c>
      <c r="F93" s="124">
        <v>408.08</v>
      </c>
      <c r="G93" s="39">
        <f t="shared" si="7"/>
        <v>881.92000000000007</v>
      </c>
      <c r="H93" s="135">
        <v>1290</v>
      </c>
      <c r="I93" s="38"/>
      <c r="J93" s="63">
        <v>1290</v>
      </c>
    </row>
    <row r="94" spans="1:10" s="61" customFormat="1" ht="15" thickBot="1" x14ac:dyDescent="0.25">
      <c r="A94" s="40" t="s">
        <v>157</v>
      </c>
      <c r="B94" s="97" t="s">
        <v>158</v>
      </c>
      <c r="C94" s="10">
        <v>180</v>
      </c>
      <c r="D94" s="10">
        <v>180</v>
      </c>
      <c r="E94" s="11">
        <v>180</v>
      </c>
      <c r="F94" s="124">
        <v>56.95</v>
      </c>
      <c r="G94" s="39">
        <f t="shared" si="7"/>
        <v>123.05</v>
      </c>
      <c r="H94" s="135">
        <v>180</v>
      </c>
      <c r="I94" s="38"/>
      <c r="J94" s="63">
        <v>180</v>
      </c>
    </row>
    <row r="95" spans="1:10" s="61" customFormat="1" ht="15" thickBot="1" x14ac:dyDescent="0.25">
      <c r="A95" s="1" t="s">
        <v>159</v>
      </c>
      <c r="B95" s="97" t="s">
        <v>160</v>
      </c>
      <c r="C95" s="10">
        <v>2500</v>
      </c>
      <c r="D95" s="10">
        <v>2500</v>
      </c>
      <c r="E95" s="11">
        <v>2000</v>
      </c>
      <c r="F95" s="124">
        <v>350.55</v>
      </c>
      <c r="G95" s="39">
        <f t="shared" si="7"/>
        <v>1649.45</v>
      </c>
      <c r="H95" s="135">
        <v>2000</v>
      </c>
      <c r="I95" s="38"/>
      <c r="J95" s="63">
        <v>2000</v>
      </c>
    </row>
    <row r="96" spans="1:10" s="61" customFormat="1" ht="15" thickBot="1" x14ac:dyDescent="0.25">
      <c r="A96" s="36" t="s">
        <v>161</v>
      </c>
      <c r="B96" s="93" t="s">
        <v>162</v>
      </c>
      <c r="C96" s="10">
        <v>612</v>
      </c>
      <c r="D96" s="10">
        <v>612</v>
      </c>
      <c r="E96" s="11">
        <v>612</v>
      </c>
      <c r="F96" s="124">
        <v>0</v>
      </c>
      <c r="G96" s="39">
        <f t="shared" si="7"/>
        <v>612</v>
      </c>
      <c r="H96" s="135">
        <v>612</v>
      </c>
      <c r="I96" s="38"/>
      <c r="J96" s="63">
        <v>612</v>
      </c>
    </row>
    <row r="97" spans="1:12" ht="15" thickBot="1" x14ac:dyDescent="0.25">
      <c r="A97" s="36" t="s">
        <v>163</v>
      </c>
      <c r="B97" s="93" t="s">
        <v>164</v>
      </c>
      <c r="C97" s="10">
        <v>516</v>
      </c>
      <c r="D97" s="10">
        <v>516</v>
      </c>
      <c r="E97" s="11">
        <v>516</v>
      </c>
      <c r="F97" s="124">
        <v>0</v>
      </c>
      <c r="G97" s="39">
        <f t="shared" si="7"/>
        <v>516</v>
      </c>
      <c r="H97" s="135">
        <v>516</v>
      </c>
      <c r="I97" s="38"/>
      <c r="J97" s="63">
        <v>516</v>
      </c>
    </row>
    <row r="98" spans="1:12" ht="15" thickBot="1" x14ac:dyDescent="0.25">
      <c r="A98" s="36" t="s">
        <v>165</v>
      </c>
      <c r="B98" s="93" t="s">
        <v>166</v>
      </c>
      <c r="C98" s="10">
        <v>72</v>
      </c>
      <c r="D98" s="10">
        <v>72</v>
      </c>
      <c r="E98" s="11">
        <v>72</v>
      </c>
      <c r="F98" s="124">
        <v>0</v>
      </c>
      <c r="G98" s="39">
        <f t="shared" si="7"/>
        <v>72</v>
      </c>
      <c r="H98" s="135">
        <v>72</v>
      </c>
      <c r="I98" s="38"/>
      <c r="J98" s="63">
        <v>72</v>
      </c>
    </row>
    <row r="99" spans="1:12" ht="15" thickBot="1" x14ac:dyDescent="0.25">
      <c r="A99" s="36" t="s">
        <v>167</v>
      </c>
      <c r="B99" s="93" t="s">
        <v>168</v>
      </c>
      <c r="C99" s="10">
        <v>16951</v>
      </c>
      <c r="D99" s="10">
        <v>16951</v>
      </c>
      <c r="E99" s="11">
        <v>16817.8</v>
      </c>
      <c r="F99" s="124">
        <v>-146.49</v>
      </c>
      <c r="G99" s="39">
        <f t="shared" si="7"/>
        <v>16964.29</v>
      </c>
      <c r="H99" s="135">
        <v>16817.8</v>
      </c>
      <c r="I99" s="38"/>
      <c r="J99" s="63">
        <v>18694.05</v>
      </c>
    </row>
    <row r="100" spans="1:12" ht="15" thickBot="1" x14ac:dyDescent="0.25">
      <c r="A100" s="36" t="s">
        <v>169</v>
      </c>
      <c r="B100" s="93" t="s">
        <v>170</v>
      </c>
      <c r="C100" s="10">
        <v>14292</v>
      </c>
      <c r="D100" s="10">
        <v>14292</v>
      </c>
      <c r="E100" s="11">
        <v>14179.72</v>
      </c>
      <c r="F100" s="124">
        <v>-110.51</v>
      </c>
      <c r="G100" s="39">
        <f t="shared" si="7"/>
        <v>14290.23</v>
      </c>
      <c r="H100" s="135">
        <v>14179.72</v>
      </c>
      <c r="I100" s="38"/>
      <c r="J100" s="63">
        <v>15761.65</v>
      </c>
    </row>
    <row r="101" spans="1:12" ht="15" thickBot="1" x14ac:dyDescent="0.25">
      <c r="A101" s="36" t="s">
        <v>171</v>
      </c>
      <c r="B101" s="93" t="s">
        <v>172</v>
      </c>
      <c r="C101" s="10">
        <v>1994</v>
      </c>
      <c r="D101" s="10">
        <v>1994</v>
      </c>
      <c r="E101" s="41">
        <v>1978.56</v>
      </c>
      <c r="F101" s="124">
        <v>0</v>
      </c>
      <c r="G101" s="52">
        <f t="shared" si="7"/>
        <v>1978.56</v>
      </c>
      <c r="H101" s="146">
        <v>1978.56</v>
      </c>
      <c r="I101" s="38"/>
      <c r="J101" s="63">
        <v>2199.3000000000002</v>
      </c>
    </row>
    <row r="102" spans="1:12" ht="15" thickBot="1" x14ac:dyDescent="0.25">
      <c r="A102" s="36" t="s">
        <v>173</v>
      </c>
      <c r="B102" s="93" t="s">
        <v>174</v>
      </c>
      <c r="C102" s="10">
        <v>12036</v>
      </c>
      <c r="D102" s="10">
        <v>12036</v>
      </c>
      <c r="E102" s="11">
        <v>9486</v>
      </c>
      <c r="F102" s="126">
        <v>3114.6</v>
      </c>
      <c r="G102" s="39">
        <f t="shared" si="7"/>
        <v>6371.4</v>
      </c>
      <c r="H102" s="135">
        <v>9486</v>
      </c>
      <c r="I102" s="38"/>
      <c r="J102" s="63">
        <v>9486</v>
      </c>
    </row>
    <row r="103" spans="1:12" ht="15" thickBot="1" x14ac:dyDescent="0.25">
      <c r="A103" s="1" t="s">
        <v>175</v>
      </c>
      <c r="B103" s="73" t="s">
        <v>176</v>
      </c>
      <c r="C103" s="10">
        <v>10148</v>
      </c>
      <c r="D103" s="10">
        <v>10148</v>
      </c>
      <c r="E103" s="11">
        <v>7998</v>
      </c>
      <c r="F103" s="126">
        <v>2637.77</v>
      </c>
      <c r="G103" s="39">
        <f t="shared" si="7"/>
        <v>5360.23</v>
      </c>
      <c r="H103" s="135">
        <v>7998</v>
      </c>
      <c r="I103" s="38"/>
      <c r="J103" s="63">
        <v>7998</v>
      </c>
    </row>
    <row r="104" spans="1:12" ht="15" thickBot="1" x14ac:dyDescent="0.25">
      <c r="A104" s="32" t="s">
        <v>177</v>
      </c>
      <c r="B104" s="95" t="s">
        <v>178</v>
      </c>
      <c r="C104" s="10">
        <v>1416</v>
      </c>
      <c r="D104" s="10">
        <v>1416</v>
      </c>
      <c r="E104" s="11">
        <v>1116</v>
      </c>
      <c r="F104" s="126">
        <v>403.48</v>
      </c>
      <c r="G104" s="39">
        <f t="shared" si="7"/>
        <v>712.52</v>
      </c>
      <c r="H104" s="135">
        <v>1116</v>
      </c>
      <c r="I104" s="38"/>
      <c r="J104" s="63">
        <v>1116</v>
      </c>
    </row>
    <row r="105" spans="1:12" ht="15" thickBot="1" x14ac:dyDescent="0.25">
      <c r="A105" s="36" t="s">
        <v>179</v>
      </c>
      <c r="B105" s="93" t="s">
        <v>180</v>
      </c>
      <c r="C105" s="10">
        <v>33354</v>
      </c>
      <c r="D105" s="10">
        <v>33354</v>
      </c>
      <c r="E105" s="11">
        <v>28254</v>
      </c>
      <c r="F105" s="124">
        <v>6920.8</v>
      </c>
      <c r="G105" s="39">
        <f t="shared" si="7"/>
        <v>21333.200000000001</v>
      </c>
      <c r="H105" s="135">
        <v>28254</v>
      </c>
      <c r="I105" s="38"/>
      <c r="J105" s="63">
        <v>28254</v>
      </c>
    </row>
    <row r="106" spans="1:12" ht="15" thickBot="1" x14ac:dyDescent="0.25">
      <c r="A106" s="36" t="s">
        <v>181</v>
      </c>
      <c r="B106" s="93" t="s">
        <v>182</v>
      </c>
      <c r="C106" s="10">
        <v>28122</v>
      </c>
      <c r="D106" s="10">
        <v>28122</v>
      </c>
      <c r="E106" s="11">
        <v>23822</v>
      </c>
      <c r="F106" s="124">
        <v>5852.07</v>
      </c>
      <c r="G106" s="39">
        <f t="shared" si="7"/>
        <v>17969.93</v>
      </c>
      <c r="H106" s="135">
        <v>23822</v>
      </c>
      <c r="I106" s="38"/>
      <c r="J106" s="63">
        <v>23822</v>
      </c>
    </row>
    <row r="107" spans="1:12" ht="15" thickBot="1" x14ac:dyDescent="0.25">
      <c r="A107" s="36" t="s">
        <v>183</v>
      </c>
      <c r="B107" s="93" t="s">
        <v>184</v>
      </c>
      <c r="C107" s="10">
        <v>3924</v>
      </c>
      <c r="D107" s="10">
        <v>3924</v>
      </c>
      <c r="E107" s="11">
        <v>3324</v>
      </c>
      <c r="F107" s="124">
        <v>816.56</v>
      </c>
      <c r="G107" s="39">
        <f t="shared" si="7"/>
        <v>2507.44</v>
      </c>
      <c r="H107" s="135">
        <v>3324</v>
      </c>
      <c r="I107" s="38"/>
      <c r="J107" s="63">
        <v>3324</v>
      </c>
    </row>
    <row r="108" spans="1:12" ht="15" thickBot="1" x14ac:dyDescent="0.25">
      <c r="A108" s="36" t="s">
        <v>185</v>
      </c>
      <c r="B108" s="93" t="s">
        <v>186</v>
      </c>
      <c r="C108" s="10">
        <v>27132</v>
      </c>
      <c r="D108" s="10">
        <v>27132</v>
      </c>
      <c r="E108" s="11">
        <v>22032</v>
      </c>
      <c r="F108" s="124">
        <v>0</v>
      </c>
      <c r="G108" s="39">
        <f t="shared" si="7"/>
        <v>22032</v>
      </c>
      <c r="H108" s="135">
        <v>22032</v>
      </c>
      <c r="I108" s="38"/>
      <c r="J108" s="63">
        <v>22032</v>
      </c>
    </row>
    <row r="109" spans="1:12" ht="15" thickBot="1" x14ac:dyDescent="0.25">
      <c r="A109" s="36" t="s">
        <v>187</v>
      </c>
      <c r="B109" s="93" t="s">
        <v>188</v>
      </c>
      <c r="C109" s="10">
        <v>22876</v>
      </c>
      <c r="D109" s="10">
        <v>22876</v>
      </c>
      <c r="E109" s="11">
        <v>18576</v>
      </c>
      <c r="F109" s="124">
        <v>0</v>
      </c>
      <c r="G109" s="39">
        <f t="shared" si="7"/>
        <v>18576</v>
      </c>
      <c r="H109" s="135">
        <v>18576</v>
      </c>
      <c r="I109" s="38"/>
      <c r="J109" s="63">
        <v>18576</v>
      </c>
    </row>
    <row r="110" spans="1:12" ht="15" thickBot="1" x14ac:dyDescent="0.25">
      <c r="A110" s="36" t="s">
        <v>189</v>
      </c>
      <c r="B110" s="93" t="s">
        <v>190</v>
      </c>
      <c r="C110" s="110">
        <v>3192</v>
      </c>
      <c r="D110" s="110">
        <v>3192</v>
      </c>
      <c r="E110" s="111">
        <v>2592</v>
      </c>
      <c r="F110" s="125">
        <v>0</v>
      </c>
      <c r="G110" s="111">
        <f t="shared" si="7"/>
        <v>2592</v>
      </c>
      <c r="H110" s="136">
        <v>2592</v>
      </c>
      <c r="I110" s="116"/>
      <c r="J110" s="85">
        <v>2592</v>
      </c>
    </row>
    <row r="111" spans="1:12" s="106" customFormat="1" ht="16.5" thickTop="1" thickBot="1" x14ac:dyDescent="0.3">
      <c r="A111" s="21" t="s">
        <v>191</v>
      </c>
      <c r="B111" s="119"/>
      <c r="C111" s="13">
        <f t="shared" ref="C111:H111" si="8">SUM(C58:C110)</f>
        <v>576943.97000000009</v>
      </c>
      <c r="D111" s="13">
        <f t="shared" si="8"/>
        <v>576943.97000000009</v>
      </c>
      <c r="E111" s="14">
        <f t="shared" si="8"/>
        <v>570252.89999999991</v>
      </c>
      <c r="F111" s="130">
        <f t="shared" si="8"/>
        <v>193210.95999999996</v>
      </c>
      <c r="G111" s="14">
        <f t="shared" si="8"/>
        <v>377041.94</v>
      </c>
      <c r="H111" s="137">
        <f t="shared" si="8"/>
        <v>570252.89999999991</v>
      </c>
      <c r="I111" s="15"/>
      <c r="J111" s="109">
        <f>SUM(J58:J110)</f>
        <v>590285.1399999999</v>
      </c>
      <c r="K111" s="154"/>
      <c r="L111" s="155"/>
    </row>
    <row r="112" spans="1:12" ht="15" thickBot="1" x14ac:dyDescent="0.25">
      <c r="A112" s="66" t="s">
        <v>192</v>
      </c>
      <c r="B112" s="64" t="s">
        <v>193</v>
      </c>
      <c r="C112" s="10">
        <v>4000</v>
      </c>
      <c r="D112" s="10">
        <v>4000</v>
      </c>
      <c r="E112" s="11">
        <v>53000</v>
      </c>
      <c r="F112" s="124">
        <v>0</v>
      </c>
      <c r="G112" s="11">
        <f>E112-F114</f>
        <v>53000</v>
      </c>
      <c r="H112" s="135">
        <v>53000</v>
      </c>
      <c r="I112" s="60"/>
      <c r="J112" s="63">
        <v>0</v>
      </c>
    </row>
    <row r="113" spans="1:10" s="61" customFormat="1" ht="15" thickBot="1" x14ac:dyDescent="0.25">
      <c r="A113" s="66" t="s">
        <v>194</v>
      </c>
      <c r="B113" s="64" t="s">
        <v>195</v>
      </c>
      <c r="C113" s="10">
        <v>6500</v>
      </c>
      <c r="D113" s="10">
        <v>6500</v>
      </c>
      <c r="E113" s="11">
        <v>5000</v>
      </c>
      <c r="F113" s="124">
        <v>0</v>
      </c>
      <c r="G113" s="39">
        <f>E113-F115</f>
        <v>5000</v>
      </c>
      <c r="H113" s="135">
        <v>5000</v>
      </c>
      <c r="I113" s="38"/>
      <c r="J113" s="63">
        <v>20000</v>
      </c>
    </row>
    <row r="114" spans="1:10" s="61" customFormat="1" ht="15" thickBot="1" x14ac:dyDescent="0.25">
      <c r="A114" s="20" t="s">
        <v>196</v>
      </c>
      <c r="B114" s="73" t="s">
        <v>197</v>
      </c>
      <c r="C114" s="10">
        <v>150000</v>
      </c>
      <c r="D114" s="10">
        <v>150000</v>
      </c>
      <c r="E114" s="11">
        <v>150000</v>
      </c>
      <c r="F114" s="124">
        <v>0</v>
      </c>
      <c r="G114" s="39">
        <f>E114-F114</f>
        <v>150000</v>
      </c>
      <c r="H114" s="135">
        <v>150000</v>
      </c>
      <c r="I114" s="38"/>
      <c r="J114" s="63">
        <v>150000</v>
      </c>
    </row>
    <row r="115" spans="1:10" s="61" customFormat="1" ht="15.75" thickBot="1" x14ac:dyDescent="0.25">
      <c r="A115" s="1" t="s">
        <v>198</v>
      </c>
      <c r="B115" s="73" t="s">
        <v>199</v>
      </c>
      <c r="C115" s="10">
        <v>255703</v>
      </c>
      <c r="D115" s="122">
        <v>576684</v>
      </c>
      <c r="E115" s="11">
        <v>255703</v>
      </c>
      <c r="F115" s="124">
        <v>0</v>
      </c>
      <c r="G115" s="58">
        <v>255703</v>
      </c>
      <c r="H115" s="147">
        <f>H22</f>
        <v>473719</v>
      </c>
      <c r="I115" s="38"/>
      <c r="J115" s="63">
        <v>350000</v>
      </c>
    </row>
    <row r="116" spans="1:10" s="61" customFormat="1" ht="15" thickBot="1" x14ac:dyDescent="0.25">
      <c r="A116" s="1" t="s">
        <v>200</v>
      </c>
      <c r="B116" s="73" t="s">
        <v>201</v>
      </c>
      <c r="C116" s="110">
        <v>109783</v>
      </c>
      <c r="D116" s="110">
        <v>0</v>
      </c>
      <c r="E116" s="111">
        <v>0</v>
      </c>
      <c r="F116" s="111">
        <v>0</v>
      </c>
      <c r="G116" s="111">
        <f>E116-F116</f>
        <v>0</v>
      </c>
      <c r="H116" s="148">
        <v>0</v>
      </c>
      <c r="I116" s="116"/>
      <c r="J116" s="85">
        <v>0</v>
      </c>
    </row>
    <row r="117" spans="1:10" s="61" customFormat="1" ht="16.5" thickTop="1" thickBot="1" x14ac:dyDescent="0.25">
      <c r="A117" s="45" t="s">
        <v>214</v>
      </c>
      <c r="B117" s="73"/>
      <c r="C117" s="42">
        <f t="shared" ref="C117:H117" si="9">SUM(C112:C116)</f>
        <v>525986</v>
      </c>
      <c r="D117" s="42">
        <f t="shared" si="9"/>
        <v>737184</v>
      </c>
      <c r="E117" s="43">
        <f t="shared" si="9"/>
        <v>463703</v>
      </c>
      <c r="F117" s="43">
        <f t="shared" si="9"/>
        <v>0</v>
      </c>
      <c r="G117" s="53">
        <f t="shared" si="9"/>
        <v>463703</v>
      </c>
      <c r="H117" s="149">
        <f t="shared" si="9"/>
        <v>681719</v>
      </c>
      <c r="I117" s="44"/>
      <c r="J117" s="103">
        <f>SUM(J112:J116)</f>
        <v>520000</v>
      </c>
    </row>
    <row r="118" spans="1:10" s="61" customFormat="1" ht="16.5" thickTop="1" thickBot="1" x14ac:dyDescent="0.25">
      <c r="A118" s="45" t="s">
        <v>202</v>
      </c>
      <c r="B118" s="98"/>
      <c r="C118" s="67">
        <f>C55+C111+C117</f>
        <v>1383573.2540000002</v>
      </c>
      <c r="D118" s="68">
        <f>D55+D111+D117</f>
        <v>1594771.2540000002</v>
      </c>
      <c r="E118" s="70">
        <f>E55+E111+E117</f>
        <v>1326736.8399999999</v>
      </c>
      <c r="F118" s="67">
        <f>F37+F55+F111+F117</f>
        <v>361793.45999999996</v>
      </c>
      <c r="G118" s="102">
        <f>G55+G111+G117</f>
        <v>964943.38</v>
      </c>
      <c r="H118" s="150">
        <f>H55+H111+H117</f>
        <v>1544752.8399999999</v>
      </c>
      <c r="I118" s="69"/>
      <c r="J118" s="81">
        <f>J55+J111+J117</f>
        <v>1437844.7999999998</v>
      </c>
    </row>
    <row r="119" spans="1:10" s="61" customFormat="1" ht="15" x14ac:dyDescent="0.2">
      <c r="A119" s="28"/>
      <c r="B119" s="99"/>
      <c r="C119" s="29"/>
      <c r="D119" s="29"/>
      <c r="E119" s="30"/>
      <c r="F119" s="29"/>
      <c r="G119" s="30"/>
      <c r="H119" s="151"/>
      <c r="I119" s="29"/>
      <c r="J119" s="49"/>
    </row>
    <row r="120" spans="1:10" s="61" customFormat="1" ht="15" x14ac:dyDescent="0.2">
      <c r="A120" s="48" t="s">
        <v>208</v>
      </c>
      <c r="B120" s="99"/>
      <c r="C120" s="29"/>
      <c r="D120" s="47"/>
      <c r="E120" s="30"/>
      <c r="F120" s="29"/>
      <c r="G120" s="30"/>
      <c r="H120" s="151"/>
      <c r="I120" s="29"/>
      <c r="J120" s="49"/>
    </row>
    <row r="121" spans="1:10" s="61" customFormat="1" x14ac:dyDescent="0.2">
      <c r="A121" s="50" t="s">
        <v>206</v>
      </c>
      <c r="B121" s="100"/>
      <c r="C121" s="49"/>
      <c r="D121" s="47"/>
      <c r="E121" s="54"/>
      <c r="F121" s="49"/>
      <c r="G121" s="54"/>
      <c r="H121" s="151"/>
      <c r="I121" s="49"/>
      <c r="J121" s="104"/>
    </row>
    <row r="122" spans="1:10" s="61" customFormat="1" x14ac:dyDescent="0.2">
      <c r="A122" s="46" t="s">
        <v>205</v>
      </c>
      <c r="B122" s="101"/>
      <c r="C122" s="47" t="s">
        <v>5</v>
      </c>
      <c r="D122" s="47"/>
      <c r="E122" s="104" t="s">
        <v>6</v>
      </c>
      <c r="F122" s="47"/>
      <c r="G122" s="58"/>
      <c r="H122" s="151"/>
      <c r="I122" s="47"/>
      <c r="J122" s="104" t="s">
        <v>204</v>
      </c>
    </row>
    <row r="123" spans="1:10" s="61" customFormat="1" x14ac:dyDescent="0.2">
      <c r="A123" s="101" t="s">
        <v>227</v>
      </c>
      <c r="B123" s="101"/>
      <c r="C123" s="47">
        <f>C118</f>
        <v>1383573.2540000002</v>
      </c>
      <c r="D123" s="47"/>
      <c r="E123" s="58">
        <f>E118</f>
        <v>1326736.8399999999</v>
      </c>
      <c r="F123" s="47"/>
      <c r="G123" s="58"/>
      <c r="H123" s="151"/>
      <c r="I123" s="47"/>
      <c r="J123" s="104">
        <f>J118</f>
        <v>1437844.7999999998</v>
      </c>
    </row>
    <row r="124" spans="1:10" s="61" customFormat="1" x14ac:dyDescent="0.2">
      <c r="A124" s="101" t="s">
        <v>209</v>
      </c>
      <c r="B124" s="101"/>
      <c r="C124" s="47">
        <v>73.62</v>
      </c>
      <c r="D124" s="47"/>
      <c r="E124" s="58">
        <v>76.97</v>
      </c>
      <c r="F124" s="47"/>
      <c r="G124" s="58"/>
      <c r="H124" s="151"/>
      <c r="I124" s="47"/>
      <c r="J124" s="104">
        <v>67.739999999999995</v>
      </c>
    </row>
    <row r="125" spans="1:10" s="61" customFormat="1" x14ac:dyDescent="0.2">
      <c r="A125" s="101" t="s">
        <v>210</v>
      </c>
      <c r="B125" s="101"/>
      <c r="C125" s="47">
        <v>26.97</v>
      </c>
      <c r="D125" s="47"/>
      <c r="E125" s="58">
        <v>28.29</v>
      </c>
      <c r="F125" s="47"/>
      <c r="G125" s="58"/>
      <c r="H125" s="151"/>
      <c r="I125" s="47"/>
      <c r="J125" s="104">
        <v>25.82</v>
      </c>
    </row>
    <row r="126" spans="1:10" s="61" customFormat="1" x14ac:dyDescent="0.2">
      <c r="A126" s="101" t="s">
        <v>211</v>
      </c>
      <c r="B126" s="101"/>
      <c r="C126" s="47">
        <v>5.7</v>
      </c>
      <c r="D126" s="47"/>
      <c r="E126" s="58">
        <v>5.87</v>
      </c>
      <c r="F126" s="47"/>
      <c r="G126" s="58"/>
      <c r="H126" s="151"/>
      <c r="I126" s="47"/>
      <c r="J126" s="104">
        <v>5.17</v>
      </c>
    </row>
    <row r="127" spans="1:10" s="61" customFormat="1" x14ac:dyDescent="0.2">
      <c r="A127" s="101" t="s">
        <v>225</v>
      </c>
      <c r="B127" s="101"/>
      <c r="C127" s="47">
        <v>36.81</v>
      </c>
      <c r="D127" s="47"/>
      <c r="E127" s="58">
        <v>38.479999999999997</v>
      </c>
      <c r="F127" s="47"/>
      <c r="G127" s="58"/>
      <c r="H127" s="151"/>
      <c r="I127" s="47"/>
      <c r="J127" s="104">
        <v>33.869999999999997</v>
      </c>
    </row>
  </sheetData>
  <printOptions gridLines="1"/>
  <pageMargins left="0.2" right="0.2" top="1.1499999999999999" bottom="0.5" header="0.3" footer="0.3"/>
  <pageSetup scale="79" fitToHeight="0" orientation="landscape" r:id="rId1"/>
  <headerFooter>
    <oddHeader>&amp;C&amp;"Arial,Bold"&amp;14Barron Water Control District&amp;"Arial,Regular"&amp;11
&amp;12 2018-19 General Fund
Proposed Budget, May 30, 2018
&amp;"Arial,Bold"Option B (No truck, $20k Contingency)</oddHeader>
    <oddFooter>&amp;Z&amp;F&amp;RPage &amp;P</oddFooter>
  </headerFooter>
  <rowBreaks count="2" manualBreakCount="2">
    <brk id="26" max="16383" man="1"/>
    <brk id="5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view="pageLayout" zoomScaleNormal="100" workbookViewId="0">
      <selection activeCell="L126" sqref="L126"/>
    </sheetView>
  </sheetViews>
  <sheetFormatPr defaultRowHeight="14.25" x14ac:dyDescent="0.2"/>
  <cols>
    <col min="1" max="1" width="52.5703125" style="46" customWidth="1"/>
    <col min="2" max="2" width="9.28515625" style="101" customWidth="1"/>
    <col min="3" max="4" width="14" style="47" customWidth="1"/>
    <col min="5" max="5" width="14" style="58" customWidth="1"/>
    <col min="6" max="6" width="14" style="47" customWidth="1"/>
    <col min="7" max="7" width="14" style="58" customWidth="1"/>
    <col min="8" max="8" width="14.140625" style="151" customWidth="1"/>
    <col min="9" max="9" width="1.140625" style="47" customWidth="1"/>
    <col min="10" max="10" width="15.42578125" style="104" customWidth="1"/>
    <col min="11" max="11" width="14.7109375" style="152" customWidth="1"/>
    <col min="12" max="12" width="12.140625" style="153" customWidth="1"/>
    <col min="13" max="13" width="17.5703125" style="61" customWidth="1"/>
    <col min="14" max="16384" width="9.140625" style="61"/>
  </cols>
  <sheetData>
    <row r="1" spans="1:12" ht="15.75" thickBot="1" x14ac:dyDescent="0.3">
      <c r="A1" s="1"/>
      <c r="B1" s="162" t="s">
        <v>0</v>
      </c>
      <c r="C1" s="2" t="s">
        <v>1</v>
      </c>
      <c r="D1" s="2" t="s">
        <v>220</v>
      </c>
      <c r="E1" s="2" t="s">
        <v>1</v>
      </c>
      <c r="F1" s="2" t="s">
        <v>2</v>
      </c>
      <c r="G1" s="2" t="s">
        <v>3</v>
      </c>
      <c r="H1" s="132" t="s">
        <v>220</v>
      </c>
      <c r="I1" s="74"/>
      <c r="J1" s="77" t="s">
        <v>203</v>
      </c>
    </row>
    <row r="2" spans="1:12" ht="45.75" thickBot="1" x14ac:dyDescent="0.3">
      <c r="A2" s="1"/>
      <c r="B2" s="163" t="s">
        <v>4</v>
      </c>
      <c r="C2" s="3" t="s">
        <v>5</v>
      </c>
      <c r="D2" s="3" t="s">
        <v>5</v>
      </c>
      <c r="E2" s="4" t="s">
        <v>6</v>
      </c>
      <c r="F2" s="5">
        <v>43190</v>
      </c>
      <c r="G2" s="5" t="s">
        <v>222</v>
      </c>
      <c r="H2" s="133">
        <v>43250</v>
      </c>
      <c r="I2" s="75"/>
      <c r="J2" s="77" t="s">
        <v>204</v>
      </c>
      <c r="K2" s="61"/>
      <c r="L2" s="61"/>
    </row>
    <row r="3" spans="1:12" ht="15.75" thickBot="1" x14ac:dyDescent="0.25">
      <c r="A3" s="7" t="s">
        <v>7</v>
      </c>
      <c r="B3" s="78"/>
      <c r="C3" s="2"/>
      <c r="D3" s="65">
        <v>42886</v>
      </c>
      <c r="E3" s="8"/>
      <c r="F3" s="2"/>
      <c r="G3" s="8"/>
      <c r="H3" s="134"/>
      <c r="I3" s="38"/>
      <c r="J3" s="63"/>
      <c r="K3" s="61"/>
      <c r="L3" s="61"/>
    </row>
    <row r="4" spans="1:12" ht="15" thickBot="1" x14ac:dyDescent="0.25">
      <c r="A4" s="1" t="s">
        <v>8</v>
      </c>
      <c r="B4" s="62" t="s">
        <v>9</v>
      </c>
      <c r="C4" s="10">
        <v>605818.13</v>
      </c>
      <c r="D4" s="10">
        <v>605818.13</v>
      </c>
      <c r="E4" s="11">
        <v>636410.23</v>
      </c>
      <c r="F4" s="124">
        <v>558578.23</v>
      </c>
      <c r="G4" s="11">
        <f>E4-F4</f>
        <v>77832</v>
      </c>
      <c r="H4" s="135">
        <v>636410.23</v>
      </c>
      <c r="I4" s="9"/>
      <c r="J4" s="120">
        <v>591740.21</v>
      </c>
      <c r="K4" s="61"/>
      <c r="L4" s="61"/>
    </row>
    <row r="5" spans="1:12" ht="15" thickBot="1" x14ac:dyDescent="0.25">
      <c r="A5" s="1" t="s">
        <v>10</v>
      </c>
      <c r="B5" s="62" t="s">
        <v>11</v>
      </c>
      <c r="C5" s="10">
        <v>135096.98000000001</v>
      </c>
      <c r="D5" s="10">
        <v>135096.98000000001</v>
      </c>
      <c r="E5" s="11">
        <v>133613.60999999999</v>
      </c>
      <c r="F5" s="124">
        <v>130883.87</v>
      </c>
      <c r="G5" s="11">
        <f>E5-F5</f>
        <v>2729.7399999999907</v>
      </c>
      <c r="H5" s="135">
        <v>133613.60999999999</v>
      </c>
      <c r="I5" s="9"/>
      <c r="J5" s="120">
        <v>129905.59</v>
      </c>
      <c r="K5" s="61"/>
      <c r="L5" s="61"/>
    </row>
    <row r="6" spans="1:12" ht="15" thickBot="1" x14ac:dyDescent="0.25">
      <c r="A6" s="1" t="s">
        <v>12</v>
      </c>
      <c r="B6" s="62" t="s">
        <v>13</v>
      </c>
      <c r="C6" s="10">
        <v>3994.14</v>
      </c>
      <c r="D6" s="10">
        <v>3994.14</v>
      </c>
      <c r="E6" s="11">
        <v>5000</v>
      </c>
      <c r="F6" s="124">
        <v>4035.79</v>
      </c>
      <c r="G6" s="11">
        <f>E6-F6</f>
        <v>964.21</v>
      </c>
      <c r="H6" s="135">
        <v>5000</v>
      </c>
      <c r="I6" s="9"/>
      <c r="J6" s="120">
        <v>5000</v>
      </c>
      <c r="K6" s="61"/>
      <c r="L6" s="61"/>
    </row>
    <row r="7" spans="1:12" ht="15" thickBot="1" x14ac:dyDescent="0.25">
      <c r="A7" s="1" t="s">
        <v>14</v>
      </c>
      <c r="B7" s="62" t="s">
        <v>15</v>
      </c>
      <c r="C7" s="110">
        <v>800</v>
      </c>
      <c r="D7" s="110">
        <v>800</v>
      </c>
      <c r="E7" s="111">
        <v>1000</v>
      </c>
      <c r="F7" s="125">
        <v>127.5</v>
      </c>
      <c r="G7" s="111">
        <f>E7-F7</f>
        <v>872.5</v>
      </c>
      <c r="H7" s="136">
        <v>1000</v>
      </c>
      <c r="I7" s="112"/>
      <c r="J7" s="229">
        <v>200</v>
      </c>
      <c r="K7" s="61"/>
      <c r="L7" s="61"/>
    </row>
    <row r="8" spans="1:12" s="106" customFormat="1" ht="16.5" thickTop="1" thickBot="1" x14ac:dyDescent="0.3">
      <c r="A8" s="12" t="s">
        <v>16</v>
      </c>
      <c r="B8" s="105"/>
      <c r="C8" s="13">
        <f t="shared" ref="C8:H8" si="0">SUM(C4:C7)</f>
        <v>745709.25</v>
      </c>
      <c r="D8" s="13">
        <f t="shared" si="0"/>
        <v>745709.25</v>
      </c>
      <c r="E8" s="14">
        <f t="shared" si="0"/>
        <v>776023.84</v>
      </c>
      <c r="F8" s="13">
        <f t="shared" si="0"/>
        <v>693625.39</v>
      </c>
      <c r="G8" s="14">
        <f t="shared" si="0"/>
        <v>82398.45</v>
      </c>
      <c r="H8" s="137">
        <f t="shared" si="0"/>
        <v>776023.84</v>
      </c>
      <c r="I8" s="158"/>
      <c r="J8" s="230">
        <f>SUM(J4:J7)</f>
        <v>726845.79999999993</v>
      </c>
    </row>
    <row r="9" spans="1:12" ht="15.75" thickBot="1" x14ac:dyDescent="0.3">
      <c r="A9" s="7"/>
      <c r="B9" s="62"/>
      <c r="C9" s="16"/>
      <c r="D9" s="16"/>
      <c r="E9" s="17"/>
      <c r="F9" s="16"/>
      <c r="G9" s="17"/>
      <c r="H9" s="138"/>
      <c r="I9" s="18"/>
      <c r="J9" s="120"/>
      <c r="K9" s="61"/>
      <c r="L9" s="61"/>
    </row>
    <row r="10" spans="1:12" ht="15" thickBot="1" x14ac:dyDescent="0.3">
      <c r="A10" s="19" t="s">
        <v>17</v>
      </c>
      <c r="B10" s="80" t="s">
        <v>18</v>
      </c>
      <c r="C10" s="10">
        <v>0</v>
      </c>
      <c r="D10" s="10">
        <v>0</v>
      </c>
      <c r="E10" s="11">
        <v>0</v>
      </c>
      <c r="F10" s="10">
        <v>0</v>
      </c>
      <c r="G10" s="11">
        <v>0</v>
      </c>
      <c r="H10" s="135">
        <v>0</v>
      </c>
      <c r="I10" s="9"/>
      <c r="J10" s="120">
        <v>0</v>
      </c>
      <c r="K10" s="61"/>
      <c r="L10" s="61"/>
    </row>
    <row r="11" spans="1:12" ht="15" thickBot="1" x14ac:dyDescent="0.25">
      <c r="A11" s="19" t="s">
        <v>19</v>
      </c>
      <c r="B11" s="80" t="s">
        <v>20</v>
      </c>
      <c r="C11" s="10">
        <v>24500</v>
      </c>
      <c r="D11" s="10">
        <v>24500</v>
      </c>
      <c r="E11" s="11">
        <v>25000</v>
      </c>
      <c r="F11" s="124">
        <v>20831.41</v>
      </c>
      <c r="G11" s="11">
        <f t="shared" ref="G11:G21" si="1">E11-F11</f>
        <v>4168.59</v>
      </c>
      <c r="H11" s="135">
        <v>30000</v>
      </c>
      <c r="I11" s="9"/>
      <c r="J11" s="231">
        <v>30000</v>
      </c>
      <c r="K11" s="61"/>
      <c r="L11" s="61"/>
    </row>
    <row r="12" spans="1:12" ht="15.75" thickBot="1" x14ac:dyDescent="0.25">
      <c r="A12" s="1" t="s">
        <v>218</v>
      </c>
      <c r="B12" s="62" t="s">
        <v>21</v>
      </c>
      <c r="C12" s="10">
        <f>68348+4200</f>
        <v>72548</v>
      </c>
      <c r="D12" s="10">
        <f>68348+4200</f>
        <v>72548</v>
      </c>
      <c r="E12" s="11">
        <v>74000</v>
      </c>
      <c r="F12" s="124">
        <v>46097.88</v>
      </c>
      <c r="G12" s="11">
        <f t="shared" si="1"/>
        <v>27902.120000000003</v>
      </c>
      <c r="H12" s="135">
        <v>74000</v>
      </c>
      <c r="I12" s="9"/>
      <c r="J12" s="230">
        <v>89206</v>
      </c>
      <c r="K12" s="61"/>
      <c r="L12" s="61"/>
    </row>
    <row r="13" spans="1:12" s="121" customFormat="1" ht="15" thickBot="1" x14ac:dyDescent="0.25">
      <c r="A13" s="1" t="s">
        <v>217</v>
      </c>
      <c r="B13" s="62" t="s">
        <v>22</v>
      </c>
      <c r="C13" s="10">
        <v>880</v>
      </c>
      <c r="D13" s="10">
        <v>880</v>
      </c>
      <c r="E13" s="11">
        <v>1000</v>
      </c>
      <c r="F13" s="126">
        <v>919.26</v>
      </c>
      <c r="G13" s="11">
        <f t="shared" si="1"/>
        <v>80.740000000000009</v>
      </c>
      <c r="H13" s="135">
        <v>1000</v>
      </c>
      <c r="I13" s="10"/>
      <c r="J13" s="120">
        <v>5000</v>
      </c>
    </row>
    <row r="14" spans="1:12" ht="15" thickBot="1" x14ac:dyDescent="0.25">
      <c r="A14" s="1" t="s">
        <v>216</v>
      </c>
      <c r="B14" s="62" t="s">
        <v>23</v>
      </c>
      <c r="C14" s="10">
        <v>500</v>
      </c>
      <c r="D14" s="10">
        <v>500</v>
      </c>
      <c r="E14" s="11">
        <v>700</v>
      </c>
      <c r="F14" s="124">
        <v>299.63</v>
      </c>
      <c r="G14" s="11">
        <f t="shared" si="1"/>
        <v>400.37</v>
      </c>
      <c r="H14" s="135">
        <v>700</v>
      </c>
      <c r="I14" s="9"/>
      <c r="J14" s="120">
        <v>960</v>
      </c>
      <c r="K14" s="61"/>
      <c r="L14" s="61"/>
    </row>
    <row r="15" spans="1:12" ht="15" thickBot="1" x14ac:dyDescent="0.25">
      <c r="A15" s="1" t="s">
        <v>24</v>
      </c>
      <c r="B15" s="62" t="s">
        <v>25</v>
      </c>
      <c r="C15" s="10">
        <v>200</v>
      </c>
      <c r="D15" s="10">
        <v>200</v>
      </c>
      <c r="E15" s="11">
        <v>110</v>
      </c>
      <c r="F15" s="124">
        <v>83.76</v>
      </c>
      <c r="G15" s="11">
        <f t="shared" si="1"/>
        <v>26.239999999999995</v>
      </c>
      <c r="H15" s="135">
        <v>110</v>
      </c>
      <c r="I15" s="9"/>
      <c r="J15" s="120">
        <v>100</v>
      </c>
      <c r="K15" s="61"/>
      <c r="L15" s="61"/>
    </row>
    <row r="16" spans="1:12" ht="15" thickBot="1" x14ac:dyDescent="0.25">
      <c r="A16" s="1" t="s">
        <v>26</v>
      </c>
      <c r="B16" s="62" t="s">
        <v>27</v>
      </c>
      <c r="C16" s="10">
        <v>300</v>
      </c>
      <c r="D16" s="10">
        <v>300</v>
      </c>
      <c r="E16" s="11">
        <v>350</v>
      </c>
      <c r="F16" s="124">
        <v>1569.3</v>
      </c>
      <c r="G16" s="11">
        <f t="shared" si="1"/>
        <v>-1219.3</v>
      </c>
      <c r="H16" s="135">
        <v>350</v>
      </c>
      <c r="I16" s="9"/>
      <c r="J16" s="120">
        <v>1500</v>
      </c>
      <c r="K16" s="61"/>
      <c r="L16" s="61"/>
    </row>
    <row r="17" spans="1:12" ht="15" thickBot="1" x14ac:dyDescent="0.25">
      <c r="A17" s="1" t="s">
        <v>219</v>
      </c>
      <c r="B17" s="62" t="s">
        <v>28</v>
      </c>
      <c r="C17" s="10">
        <v>4800</v>
      </c>
      <c r="D17" s="10">
        <v>4800</v>
      </c>
      <c r="E17" s="11">
        <v>4800</v>
      </c>
      <c r="F17" s="124">
        <v>2400</v>
      </c>
      <c r="G17" s="11">
        <f t="shared" si="1"/>
        <v>2400</v>
      </c>
      <c r="H17" s="135">
        <v>4800</v>
      </c>
      <c r="I17" s="9"/>
      <c r="J17" s="120">
        <v>4800</v>
      </c>
      <c r="K17" s="61"/>
      <c r="L17" s="61"/>
    </row>
    <row r="18" spans="1:12" s="121" customFormat="1" ht="15" thickBot="1" x14ac:dyDescent="0.25">
      <c r="A18" s="1" t="s">
        <v>224</v>
      </c>
      <c r="B18" s="62" t="s">
        <v>29</v>
      </c>
      <c r="C18" s="10">
        <v>1000</v>
      </c>
      <c r="D18" s="10">
        <v>1000</v>
      </c>
      <c r="E18" s="11">
        <v>18500</v>
      </c>
      <c r="F18" s="126">
        <v>35340.589999999997</v>
      </c>
      <c r="G18" s="11">
        <f t="shared" si="1"/>
        <v>-16840.589999999997</v>
      </c>
      <c r="H18" s="135">
        <v>18500</v>
      </c>
      <c r="I18" s="10"/>
      <c r="J18" s="120">
        <f>35236</f>
        <v>35236</v>
      </c>
    </row>
    <row r="19" spans="1:12" ht="15" thickBot="1" x14ac:dyDescent="0.25">
      <c r="A19" s="1" t="s">
        <v>30</v>
      </c>
      <c r="B19" s="62" t="s">
        <v>31</v>
      </c>
      <c r="C19" s="10">
        <v>16500</v>
      </c>
      <c r="D19" s="10">
        <v>16500</v>
      </c>
      <c r="E19" s="11">
        <v>20000</v>
      </c>
      <c r="F19" s="124">
        <v>8306.9599999999991</v>
      </c>
      <c r="G19" s="11">
        <f t="shared" si="1"/>
        <v>11693.04</v>
      </c>
      <c r="H19" s="135">
        <v>20000</v>
      </c>
      <c r="I19" s="9"/>
      <c r="J19" s="120">
        <v>15000</v>
      </c>
      <c r="K19" s="153"/>
      <c r="L19" s="61"/>
    </row>
    <row r="20" spans="1:12" ht="15" thickBot="1" x14ac:dyDescent="0.25">
      <c r="A20" s="1" t="s">
        <v>32</v>
      </c>
      <c r="B20" s="62" t="s">
        <v>33</v>
      </c>
      <c r="C20" s="10">
        <v>1000</v>
      </c>
      <c r="D20" s="10">
        <v>1000</v>
      </c>
      <c r="E20" s="11">
        <v>500</v>
      </c>
      <c r="F20" s="124">
        <v>0</v>
      </c>
      <c r="G20" s="11">
        <f t="shared" si="1"/>
        <v>500</v>
      </c>
      <c r="H20" s="135">
        <v>500</v>
      </c>
      <c r="I20" s="9"/>
      <c r="J20" s="120">
        <v>0</v>
      </c>
      <c r="K20" s="153"/>
      <c r="L20" s="61"/>
    </row>
    <row r="21" spans="1:12" ht="15" thickBot="1" x14ac:dyDescent="0.25">
      <c r="A21" s="1" t="s">
        <v>34</v>
      </c>
      <c r="B21" s="62" t="s">
        <v>35</v>
      </c>
      <c r="C21" s="10">
        <v>150</v>
      </c>
      <c r="D21" s="10">
        <v>150</v>
      </c>
      <c r="E21" s="11">
        <v>50</v>
      </c>
      <c r="F21" s="124">
        <v>14.34</v>
      </c>
      <c r="G21" s="11">
        <f t="shared" si="1"/>
        <v>35.659999999999997</v>
      </c>
      <c r="H21" s="139">
        <v>50</v>
      </c>
      <c r="I21" s="9"/>
      <c r="J21" s="120">
        <v>0</v>
      </c>
      <c r="K21" s="153"/>
      <c r="L21" s="61"/>
    </row>
    <row r="22" spans="1:12" ht="15.75" thickBot="1" x14ac:dyDescent="0.3">
      <c r="A22" s="20" t="s">
        <v>36</v>
      </c>
      <c r="B22" s="79" t="s">
        <v>37</v>
      </c>
      <c r="C22" s="10">
        <v>255703</v>
      </c>
      <c r="D22" s="122">
        <v>576684</v>
      </c>
      <c r="E22" s="11">
        <v>255703</v>
      </c>
      <c r="F22" s="10">
        <v>0</v>
      </c>
      <c r="G22" s="58">
        <f>E22</f>
        <v>255703</v>
      </c>
      <c r="H22" s="140">
        <v>473719</v>
      </c>
      <c r="I22" s="131"/>
      <c r="J22" s="120">
        <v>400000</v>
      </c>
      <c r="K22" s="153"/>
      <c r="L22" s="61"/>
    </row>
    <row r="23" spans="1:12" ht="15" thickBot="1" x14ac:dyDescent="0.3">
      <c r="A23" s="20" t="s">
        <v>38</v>
      </c>
      <c r="B23" s="62" t="s">
        <v>39</v>
      </c>
      <c r="C23" s="10">
        <v>150000</v>
      </c>
      <c r="D23" s="10">
        <v>150000</v>
      </c>
      <c r="E23" s="57">
        <v>150000</v>
      </c>
      <c r="F23" s="10">
        <v>0</v>
      </c>
      <c r="G23" s="11">
        <f>H23</f>
        <v>150000</v>
      </c>
      <c r="H23" s="141">
        <v>150000</v>
      </c>
      <c r="I23" s="9"/>
      <c r="J23" s="120">
        <v>150000</v>
      </c>
      <c r="K23" s="153"/>
      <c r="L23" s="61"/>
    </row>
    <row r="24" spans="1:12" ht="15" thickBot="1" x14ac:dyDescent="0.3">
      <c r="A24" s="83" t="s">
        <v>40</v>
      </c>
      <c r="B24" s="84" t="s">
        <v>41</v>
      </c>
      <c r="C24" s="110">
        <v>109783</v>
      </c>
      <c r="D24" s="110">
        <v>0</v>
      </c>
      <c r="E24" s="127">
        <v>0</v>
      </c>
      <c r="F24" s="110">
        <v>0</v>
      </c>
      <c r="G24" s="117">
        <v>0</v>
      </c>
      <c r="H24" s="136">
        <v>0</v>
      </c>
      <c r="I24" s="116"/>
      <c r="J24" s="85">
        <v>0</v>
      </c>
      <c r="K24" s="153"/>
      <c r="L24" s="61"/>
    </row>
    <row r="25" spans="1:12" s="106" customFormat="1" ht="16.5" thickTop="1" thickBot="1" x14ac:dyDescent="0.3">
      <c r="A25" s="56" t="s">
        <v>42</v>
      </c>
      <c r="B25" s="107"/>
      <c r="C25" s="42">
        <f t="shared" ref="C25:H25" si="2">SUM(C10:C24)</f>
        <v>637864</v>
      </c>
      <c r="D25" s="42">
        <f t="shared" si="2"/>
        <v>849062</v>
      </c>
      <c r="E25" s="113">
        <f t="shared" si="2"/>
        <v>550713</v>
      </c>
      <c r="F25" s="42">
        <f t="shared" si="2"/>
        <v>115863.12999999998</v>
      </c>
      <c r="G25" s="113">
        <f t="shared" si="2"/>
        <v>434849.87</v>
      </c>
      <c r="H25" s="161">
        <f t="shared" si="2"/>
        <v>773729</v>
      </c>
      <c r="I25" s="114"/>
      <c r="J25" s="115">
        <f>SUM(J10:J24)</f>
        <v>731802</v>
      </c>
      <c r="K25" s="155"/>
    </row>
    <row r="26" spans="1:12" s="106" customFormat="1" ht="16.5" thickTop="1" thickBot="1" x14ac:dyDescent="0.3">
      <c r="A26" s="21" t="s">
        <v>43</v>
      </c>
      <c r="B26" s="108"/>
      <c r="C26" s="13">
        <f>SUM(C8:C24)</f>
        <v>1383573.25</v>
      </c>
      <c r="D26" s="13">
        <f>D8+D25</f>
        <v>1594771.25</v>
      </c>
      <c r="E26" s="14">
        <f>E25+E8</f>
        <v>1326736.8399999999</v>
      </c>
      <c r="F26" s="13">
        <f>F8+F25</f>
        <v>809488.52</v>
      </c>
      <c r="G26" s="14">
        <f>G8+G25</f>
        <v>517248.32</v>
      </c>
      <c r="H26" s="160">
        <f>H8+H25</f>
        <v>1549752.8399999999</v>
      </c>
      <c r="I26" s="15"/>
      <c r="J26" s="109">
        <f>J25+J8</f>
        <v>1458647.7999999998</v>
      </c>
      <c r="K26" s="155"/>
    </row>
    <row r="27" spans="1:12" ht="15" thickBot="1" x14ac:dyDescent="0.25">
      <c r="D27" s="156">
        <f>D26-C26</f>
        <v>211198</v>
      </c>
      <c r="H27" s="157">
        <f>H26-E26</f>
        <v>223016</v>
      </c>
      <c r="K27" s="153"/>
      <c r="L27" s="61"/>
    </row>
    <row r="28" spans="1:12" ht="15.75" thickBot="1" x14ac:dyDescent="0.25">
      <c r="A28" s="7" t="s">
        <v>212</v>
      </c>
      <c r="B28" s="123"/>
      <c r="C28" s="3"/>
      <c r="D28" s="3"/>
      <c r="E28" s="4"/>
      <c r="F28" s="3"/>
      <c r="G28" s="51"/>
      <c r="H28" s="142"/>
      <c r="I28" s="6"/>
      <c r="J28" s="63"/>
    </row>
    <row r="29" spans="1:12" ht="15" thickBot="1" x14ac:dyDescent="0.25">
      <c r="A29" s="1" t="s">
        <v>44</v>
      </c>
      <c r="B29" s="62" t="s">
        <v>45</v>
      </c>
      <c r="C29" s="10">
        <v>84341.25</v>
      </c>
      <c r="D29" s="10">
        <v>84341.25</v>
      </c>
      <c r="E29" s="11">
        <v>87717.759999999995</v>
      </c>
      <c r="F29" s="124">
        <v>43858.879999999997</v>
      </c>
      <c r="G29" s="11">
        <f t="shared" ref="G29:G36" si="3">E29-F29</f>
        <v>43858.879999999997</v>
      </c>
      <c r="H29" s="135">
        <v>87717.759999999995</v>
      </c>
      <c r="I29" s="9"/>
      <c r="J29" s="63">
        <v>90349.29</v>
      </c>
    </row>
    <row r="30" spans="1:12" ht="15" thickBot="1" x14ac:dyDescent="0.25">
      <c r="A30" s="1" t="s">
        <v>46</v>
      </c>
      <c r="B30" s="62" t="s">
        <v>47</v>
      </c>
      <c r="C30" s="10">
        <f>15*2080</f>
        <v>31200</v>
      </c>
      <c r="D30" s="10">
        <f>15*2080</f>
        <v>31200</v>
      </c>
      <c r="E30" s="11">
        <v>32448</v>
      </c>
      <c r="F30" s="124">
        <v>16224</v>
      </c>
      <c r="G30" s="11">
        <f t="shared" si="3"/>
        <v>16224</v>
      </c>
      <c r="H30" s="135">
        <v>32448</v>
      </c>
      <c r="I30" s="9"/>
      <c r="J30" s="63">
        <v>33421.440000000002</v>
      </c>
    </row>
    <row r="31" spans="1:12" ht="15" thickBot="1" x14ac:dyDescent="0.25">
      <c r="A31" s="1" t="s">
        <v>48</v>
      </c>
      <c r="B31" s="62" t="s">
        <v>49</v>
      </c>
      <c r="C31" s="10">
        <v>1000</v>
      </c>
      <c r="D31" s="10">
        <v>1000</v>
      </c>
      <c r="E31" s="11">
        <v>1000</v>
      </c>
      <c r="F31" s="124">
        <v>0</v>
      </c>
      <c r="G31" s="11">
        <f t="shared" si="3"/>
        <v>1000</v>
      </c>
      <c r="H31" s="135">
        <v>1000</v>
      </c>
      <c r="I31" s="9"/>
      <c r="J31" s="63">
        <v>1000</v>
      </c>
    </row>
    <row r="32" spans="1:12" ht="15" thickBot="1" x14ac:dyDescent="0.25">
      <c r="A32" s="1" t="s">
        <v>229</v>
      </c>
      <c r="B32" s="62" t="s">
        <v>50</v>
      </c>
      <c r="C32" s="10">
        <f>(C29+C30+C31)*7.65%</f>
        <v>8915.4056249999994</v>
      </c>
      <c r="D32" s="10">
        <f>(D29+D30+D31)*7.65%</f>
        <v>8915.4056249999994</v>
      </c>
      <c r="E32" s="11">
        <v>9269.18</v>
      </c>
      <c r="F32" s="124">
        <v>4860.75</v>
      </c>
      <c r="G32" s="11">
        <f t="shared" si="3"/>
        <v>4408.43</v>
      </c>
      <c r="H32" s="135">
        <v>9269.18</v>
      </c>
      <c r="I32" s="9"/>
      <c r="J32" s="63">
        <v>9544.9599999999991</v>
      </c>
    </row>
    <row r="33" spans="1:12" ht="15" thickBot="1" x14ac:dyDescent="0.25">
      <c r="A33" s="1" t="s">
        <v>207</v>
      </c>
      <c r="B33" s="62" t="s">
        <v>51</v>
      </c>
      <c r="C33" s="10">
        <f>(C29*12.99%)+(C30*7.22%)+(C31*7.22%)</f>
        <v>13280.768375000001</v>
      </c>
      <c r="D33" s="10">
        <f>(D29*12.99%)+(D30*7.22%)+(D31*7.22%)</f>
        <v>13280.768375000001</v>
      </c>
      <c r="E33" s="11">
        <v>13909.83</v>
      </c>
      <c r="F33" s="124">
        <v>8232.9699999999993</v>
      </c>
      <c r="G33" s="11">
        <f t="shared" si="3"/>
        <v>5676.8600000000006</v>
      </c>
      <c r="H33" s="135">
        <v>13909.83</v>
      </c>
      <c r="I33" s="9"/>
      <c r="J33" s="63">
        <v>20506.5</v>
      </c>
    </row>
    <row r="34" spans="1:12" ht="15" thickBot="1" x14ac:dyDescent="0.25">
      <c r="A34" s="1" t="s">
        <v>52</v>
      </c>
      <c r="B34" s="62" t="s">
        <v>53</v>
      </c>
      <c r="C34" s="10">
        <f>7740.18*2</f>
        <v>15480.36</v>
      </c>
      <c r="D34" s="10">
        <f>7740.18*2</f>
        <v>15480.36</v>
      </c>
      <c r="E34" s="11">
        <f>7905.74*2</f>
        <v>15811.48</v>
      </c>
      <c r="F34" s="124">
        <v>7529.28</v>
      </c>
      <c r="G34" s="11">
        <f t="shared" si="3"/>
        <v>8282.2000000000007</v>
      </c>
      <c r="H34" s="135">
        <f>7905.74*2</f>
        <v>15811.48</v>
      </c>
      <c r="I34" s="9"/>
      <c r="J34" s="63">
        <v>15585.61</v>
      </c>
    </row>
    <row r="35" spans="1:12" ht="15" thickBot="1" x14ac:dyDescent="0.25">
      <c r="A35" s="1" t="s">
        <v>226</v>
      </c>
      <c r="B35" s="62" t="s">
        <v>54</v>
      </c>
      <c r="C35" s="10">
        <f>137.4*2</f>
        <v>274.8</v>
      </c>
      <c r="D35" s="10">
        <f>137.4*2</f>
        <v>274.8</v>
      </c>
      <c r="E35" s="11">
        <f>137.4*2</f>
        <v>274.8</v>
      </c>
      <c r="F35" s="124">
        <v>247.5</v>
      </c>
      <c r="G35" s="11">
        <f t="shared" si="3"/>
        <v>27.300000000000011</v>
      </c>
      <c r="H35" s="135">
        <f>137.4*2</f>
        <v>274.8</v>
      </c>
      <c r="I35" s="9"/>
      <c r="J35" s="63">
        <v>284.42</v>
      </c>
    </row>
    <row r="36" spans="1:12" ht="15" thickBot="1" x14ac:dyDescent="0.25">
      <c r="A36" s="1" t="s">
        <v>221</v>
      </c>
      <c r="B36" s="62" t="s">
        <v>55</v>
      </c>
      <c r="C36" s="110">
        <v>1820.7</v>
      </c>
      <c r="D36" s="110">
        <v>1820.7</v>
      </c>
      <c r="E36" s="111">
        <v>2050</v>
      </c>
      <c r="F36" s="125">
        <v>0</v>
      </c>
      <c r="G36" s="111">
        <f t="shared" si="3"/>
        <v>2050</v>
      </c>
      <c r="H36" s="136">
        <v>2050</v>
      </c>
      <c r="I36" s="116"/>
      <c r="J36" s="85">
        <v>2533.44</v>
      </c>
    </row>
    <row r="37" spans="1:12" s="106" customFormat="1" ht="16.5" thickTop="1" thickBot="1" x14ac:dyDescent="0.3">
      <c r="A37" s="7" t="s">
        <v>215</v>
      </c>
      <c r="B37" s="118"/>
      <c r="C37" s="22">
        <f t="shared" ref="C37:H37" si="4">SUM(C29:C36)</f>
        <v>156313.28399999999</v>
      </c>
      <c r="D37" s="22">
        <f t="shared" si="4"/>
        <v>156313.28399999999</v>
      </c>
      <c r="E37" s="23">
        <f t="shared" si="4"/>
        <v>162481.04999999999</v>
      </c>
      <c r="F37" s="22">
        <f t="shared" si="4"/>
        <v>80953.37999999999</v>
      </c>
      <c r="G37" s="23">
        <f t="shared" si="4"/>
        <v>81527.67</v>
      </c>
      <c r="H37" s="143">
        <f t="shared" si="4"/>
        <v>162481.04999999999</v>
      </c>
      <c r="I37" s="24"/>
      <c r="J37" s="109">
        <f>SUM(J29:J36)</f>
        <v>173225.66</v>
      </c>
      <c r="K37" s="154"/>
      <c r="L37" s="155"/>
    </row>
    <row r="38" spans="1:12" ht="15" thickBot="1" x14ac:dyDescent="0.3">
      <c r="A38" s="1"/>
      <c r="B38" s="62"/>
      <c r="C38" s="10"/>
      <c r="D38" s="10"/>
      <c r="E38" s="11"/>
      <c r="F38" s="10"/>
      <c r="G38" s="11"/>
      <c r="H38" s="135"/>
      <c r="I38" s="9"/>
      <c r="J38" s="63"/>
    </row>
    <row r="39" spans="1:12" ht="15" thickBot="1" x14ac:dyDescent="0.25">
      <c r="A39" s="1" t="s">
        <v>56</v>
      </c>
      <c r="B39" s="62" t="s">
        <v>57</v>
      </c>
      <c r="C39" s="10">
        <v>35000</v>
      </c>
      <c r="D39" s="10">
        <v>35000</v>
      </c>
      <c r="E39" s="11">
        <v>35000</v>
      </c>
      <c r="F39" s="124">
        <v>5748</v>
      </c>
      <c r="G39" s="57">
        <f t="shared" ref="G39:G54" si="5">E39-F39</f>
        <v>29252</v>
      </c>
      <c r="H39" s="135">
        <v>35000</v>
      </c>
      <c r="I39" s="9"/>
      <c r="J39" s="63">
        <v>35000</v>
      </c>
    </row>
    <row r="40" spans="1:12" ht="15" thickBot="1" x14ac:dyDescent="0.25">
      <c r="A40" s="20" t="s">
        <v>58</v>
      </c>
      <c r="B40" s="86" t="s">
        <v>59</v>
      </c>
      <c r="C40" s="25">
        <v>4380</v>
      </c>
      <c r="D40" s="25">
        <v>4380</v>
      </c>
      <c r="E40" s="26">
        <v>4650</v>
      </c>
      <c r="F40" s="124">
        <v>1800</v>
      </c>
      <c r="G40" s="57">
        <f t="shared" si="5"/>
        <v>2850</v>
      </c>
      <c r="H40" s="139">
        <v>4650</v>
      </c>
      <c r="I40" s="27"/>
      <c r="J40" s="63">
        <v>4700</v>
      </c>
    </row>
    <row r="41" spans="1:12" ht="15" thickBot="1" x14ac:dyDescent="0.25">
      <c r="A41" s="1" t="s">
        <v>60</v>
      </c>
      <c r="B41" s="62" t="s">
        <v>61</v>
      </c>
      <c r="C41" s="10">
        <v>14000</v>
      </c>
      <c r="D41" s="10">
        <v>14000</v>
      </c>
      <c r="E41" s="11">
        <v>14000</v>
      </c>
      <c r="F41" s="124">
        <v>6012.5</v>
      </c>
      <c r="G41" s="57">
        <f t="shared" si="5"/>
        <v>7987.5</v>
      </c>
      <c r="H41" s="135">
        <v>14000</v>
      </c>
      <c r="I41" s="9"/>
      <c r="J41" s="63">
        <v>14000</v>
      </c>
    </row>
    <row r="42" spans="1:12" ht="15" thickBot="1" x14ac:dyDescent="0.25">
      <c r="A42" s="1" t="s">
        <v>62</v>
      </c>
      <c r="B42" s="62" t="s">
        <v>63</v>
      </c>
      <c r="C42" s="10">
        <v>25000</v>
      </c>
      <c r="D42" s="10">
        <v>25000</v>
      </c>
      <c r="E42" s="11">
        <v>28500</v>
      </c>
      <c r="F42" s="128">
        <v>21000</v>
      </c>
      <c r="G42" s="57">
        <f t="shared" si="5"/>
        <v>7500</v>
      </c>
      <c r="H42" s="135">
        <v>28500</v>
      </c>
      <c r="I42" s="9"/>
      <c r="J42" s="63">
        <v>28500</v>
      </c>
    </row>
    <row r="43" spans="1:12" ht="15" thickBot="1" x14ac:dyDescent="0.25">
      <c r="A43" s="1" t="s">
        <v>64</v>
      </c>
      <c r="B43" s="62" t="s">
        <v>65</v>
      </c>
      <c r="C43" s="10">
        <v>15000</v>
      </c>
      <c r="D43" s="10">
        <v>15000</v>
      </c>
      <c r="E43" s="11">
        <v>15750</v>
      </c>
      <c r="F43" s="124">
        <v>14708.76</v>
      </c>
      <c r="G43" s="57">
        <f t="shared" si="5"/>
        <v>1041.2399999999998</v>
      </c>
      <c r="H43" s="135">
        <v>15750</v>
      </c>
      <c r="I43" s="9"/>
      <c r="J43" s="63">
        <v>16000</v>
      </c>
    </row>
    <row r="44" spans="1:12" ht="15" thickBot="1" x14ac:dyDescent="0.25">
      <c r="A44" s="1" t="s">
        <v>223</v>
      </c>
      <c r="B44" s="62" t="s">
        <v>66</v>
      </c>
      <c r="C44" s="10">
        <v>5000</v>
      </c>
      <c r="D44" s="10">
        <v>5000</v>
      </c>
      <c r="E44" s="11">
        <v>5200</v>
      </c>
      <c r="F44" s="128">
        <v>29537.18</v>
      </c>
      <c r="G44" s="57">
        <f t="shared" si="5"/>
        <v>-24337.18</v>
      </c>
      <c r="H44" s="135">
        <v>5200</v>
      </c>
      <c r="I44" s="9"/>
      <c r="J44" s="63">
        <v>31200</v>
      </c>
    </row>
    <row r="45" spans="1:12" ht="15" thickBot="1" x14ac:dyDescent="0.25">
      <c r="A45" s="1" t="s">
        <v>67</v>
      </c>
      <c r="B45" s="62" t="s">
        <v>68</v>
      </c>
      <c r="C45" s="10">
        <v>1800</v>
      </c>
      <c r="D45" s="10">
        <v>1800</v>
      </c>
      <c r="E45" s="11">
        <v>1800</v>
      </c>
      <c r="F45" s="124">
        <v>0</v>
      </c>
      <c r="G45" s="58">
        <f t="shared" si="5"/>
        <v>1800</v>
      </c>
      <c r="H45" s="135">
        <v>1800</v>
      </c>
      <c r="I45" s="9"/>
      <c r="J45" s="63">
        <v>1200</v>
      </c>
    </row>
    <row r="46" spans="1:12" ht="15" thickBot="1" x14ac:dyDescent="0.25">
      <c r="A46" s="1" t="s">
        <v>69</v>
      </c>
      <c r="B46" s="62" t="s">
        <v>70</v>
      </c>
      <c r="C46" s="10">
        <v>2000</v>
      </c>
      <c r="D46" s="10">
        <v>2000</v>
      </c>
      <c r="E46" s="11">
        <v>2000</v>
      </c>
      <c r="F46" s="124">
        <v>909.71</v>
      </c>
      <c r="G46" s="11">
        <f t="shared" si="5"/>
        <v>1090.29</v>
      </c>
      <c r="H46" s="135">
        <v>2000</v>
      </c>
      <c r="I46" s="9"/>
      <c r="J46" s="63">
        <v>3120</v>
      </c>
    </row>
    <row r="47" spans="1:12" ht="15" thickBot="1" x14ac:dyDescent="0.25">
      <c r="A47" s="1" t="s">
        <v>71</v>
      </c>
      <c r="B47" s="62" t="s">
        <v>72</v>
      </c>
      <c r="C47" s="10">
        <v>400</v>
      </c>
      <c r="D47" s="10">
        <v>400</v>
      </c>
      <c r="E47" s="11">
        <v>375</v>
      </c>
      <c r="F47" s="124">
        <v>98</v>
      </c>
      <c r="G47" s="11">
        <f t="shared" si="5"/>
        <v>277</v>
      </c>
      <c r="H47" s="135">
        <v>375</v>
      </c>
      <c r="I47" s="9"/>
      <c r="J47" s="63">
        <v>375</v>
      </c>
    </row>
    <row r="48" spans="1:12" ht="15" thickBot="1" x14ac:dyDescent="0.25">
      <c r="A48" s="1" t="s">
        <v>73</v>
      </c>
      <c r="B48" s="62" t="s">
        <v>74</v>
      </c>
      <c r="C48" s="10">
        <v>1250</v>
      </c>
      <c r="D48" s="10">
        <v>1250</v>
      </c>
      <c r="E48" s="11">
        <v>1500</v>
      </c>
      <c r="F48" s="124">
        <v>599.36</v>
      </c>
      <c r="G48" s="11">
        <f t="shared" si="5"/>
        <v>900.64</v>
      </c>
      <c r="H48" s="135">
        <v>1500</v>
      </c>
      <c r="I48" s="9"/>
      <c r="J48" s="63">
        <v>1500</v>
      </c>
    </row>
    <row r="49" spans="1:12" ht="15" thickBot="1" x14ac:dyDescent="0.25">
      <c r="A49" s="1" t="s">
        <v>75</v>
      </c>
      <c r="B49" s="62" t="s">
        <v>76</v>
      </c>
      <c r="C49" s="10">
        <v>1200</v>
      </c>
      <c r="D49" s="10">
        <v>1200</v>
      </c>
      <c r="E49" s="11">
        <v>1000</v>
      </c>
      <c r="F49" s="124">
        <v>0</v>
      </c>
      <c r="G49" s="11">
        <f t="shared" si="5"/>
        <v>1000</v>
      </c>
      <c r="H49" s="135">
        <v>1000</v>
      </c>
      <c r="I49" s="9"/>
      <c r="J49" s="63">
        <v>1000</v>
      </c>
    </row>
    <row r="50" spans="1:12" ht="15" thickBot="1" x14ac:dyDescent="0.25">
      <c r="A50" s="1" t="s">
        <v>77</v>
      </c>
      <c r="B50" s="62" t="s">
        <v>78</v>
      </c>
      <c r="C50" s="10">
        <v>8250</v>
      </c>
      <c r="D50" s="10">
        <v>8250</v>
      </c>
      <c r="E50" s="11">
        <v>8250</v>
      </c>
      <c r="F50" s="124">
        <v>3653.68</v>
      </c>
      <c r="G50" s="11">
        <f t="shared" si="5"/>
        <v>4596.32</v>
      </c>
      <c r="H50" s="135">
        <v>8250</v>
      </c>
      <c r="I50" s="9"/>
      <c r="J50" s="63">
        <v>7239</v>
      </c>
    </row>
    <row r="51" spans="1:12" ht="15" thickBot="1" x14ac:dyDescent="0.25">
      <c r="A51" s="1" t="s">
        <v>79</v>
      </c>
      <c r="B51" s="62" t="s">
        <v>80</v>
      </c>
      <c r="C51" s="10">
        <v>4000</v>
      </c>
      <c r="D51" s="10">
        <v>4000</v>
      </c>
      <c r="E51" s="11">
        <v>4000</v>
      </c>
      <c r="F51" s="124">
        <v>2637.41</v>
      </c>
      <c r="G51" s="11">
        <f t="shared" si="5"/>
        <v>1362.5900000000001</v>
      </c>
      <c r="H51" s="135">
        <v>4000</v>
      </c>
      <c r="I51" s="9"/>
      <c r="J51" s="63">
        <v>4000</v>
      </c>
    </row>
    <row r="52" spans="1:12" ht="15" thickBot="1" x14ac:dyDescent="0.25">
      <c r="A52" s="1" t="s">
        <v>81</v>
      </c>
      <c r="B52" s="62" t="s">
        <v>82</v>
      </c>
      <c r="C52" s="10">
        <v>4000</v>
      </c>
      <c r="D52" s="10">
        <v>4000</v>
      </c>
      <c r="E52" s="11">
        <v>4199.8900000000003</v>
      </c>
      <c r="F52" s="124">
        <v>775.87</v>
      </c>
      <c r="G52" s="11">
        <f t="shared" si="5"/>
        <v>3424.0200000000004</v>
      </c>
      <c r="H52" s="135">
        <v>4199.8900000000003</v>
      </c>
      <c r="I52" s="9"/>
      <c r="J52" s="63">
        <v>4000</v>
      </c>
    </row>
    <row r="53" spans="1:12" ht="15" thickBot="1" x14ac:dyDescent="0.25">
      <c r="A53" s="1" t="s">
        <v>83</v>
      </c>
      <c r="B53" s="62" t="s">
        <v>84</v>
      </c>
      <c r="C53" s="10">
        <v>550</v>
      </c>
      <c r="D53" s="10">
        <v>550</v>
      </c>
      <c r="E53" s="11">
        <v>1575</v>
      </c>
      <c r="F53" s="124">
        <v>148.65</v>
      </c>
      <c r="G53" s="11">
        <f t="shared" si="5"/>
        <v>1426.35</v>
      </c>
      <c r="H53" s="135">
        <v>1575</v>
      </c>
      <c r="I53" s="9"/>
      <c r="J53" s="63">
        <v>1500</v>
      </c>
    </row>
    <row r="54" spans="1:12" ht="15" thickBot="1" x14ac:dyDescent="0.25">
      <c r="A54" s="20" t="s">
        <v>85</v>
      </c>
      <c r="B54" s="79" t="s">
        <v>86</v>
      </c>
      <c r="C54" s="110">
        <v>2500</v>
      </c>
      <c r="D54" s="110">
        <v>2500</v>
      </c>
      <c r="E54" s="111">
        <v>2500</v>
      </c>
      <c r="F54" s="125">
        <v>0</v>
      </c>
      <c r="G54" s="111">
        <f t="shared" si="5"/>
        <v>2500</v>
      </c>
      <c r="H54" s="136">
        <v>2500</v>
      </c>
      <c r="I54" s="116"/>
      <c r="J54" s="85">
        <v>1000</v>
      </c>
    </row>
    <row r="55" spans="1:12" s="106" customFormat="1" ht="16.5" thickTop="1" thickBot="1" x14ac:dyDescent="0.3">
      <c r="A55" s="7" t="s">
        <v>87</v>
      </c>
      <c r="B55" s="78"/>
      <c r="C55" s="22">
        <f>SUM(C37:C54)</f>
        <v>280643.28399999999</v>
      </c>
      <c r="D55" s="22">
        <f>SUM(D37:D54)</f>
        <v>280643.28399999999</v>
      </c>
      <c r="E55" s="23">
        <f>SUM(E37:E54)</f>
        <v>292780.94</v>
      </c>
      <c r="F55" s="22">
        <f>SUM(F39:F54)</f>
        <v>87629.119999999995</v>
      </c>
      <c r="G55" s="23">
        <f>SUM(G37:G54)</f>
        <v>124198.44000000002</v>
      </c>
      <c r="H55" s="143">
        <f>SUM(H37:H54)</f>
        <v>292780.94</v>
      </c>
      <c r="I55" s="55"/>
      <c r="J55" s="109">
        <f>SUM(J37:J54)</f>
        <v>327559.66000000003</v>
      </c>
      <c r="K55" s="154"/>
      <c r="L55" s="155"/>
    </row>
    <row r="56" spans="1:12" ht="15" x14ac:dyDescent="0.25">
      <c r="A56" s="28"/>
      <c r="B56" s="87"/>
      <c r="C56" s="29"/>
      <c r="D56" s="29"/>
      <c r="E56" s="30"/>
      <c r="F56" s="29"/>
      <c r="G56" s="30"/>
      <c r="H56" s="144"/>
      <c r="I56" s="29"/>
      <c r="J56" s="49"/>
    </row>
    <row r="57" spans="1:12" ht="15.75" thickBot="1" x14ac:dyDescent="0.3">
      <c r="A57" s="71" t="s">
        <v>213</v>
      </c>
      <c r="B57" s="76"/>
      <c r="C57" s="2"/>
      <c r="D57" s="2"/>
      <c r="E57" s="2"/>
      <c r="F57" s="2"/>
      <c r="G57" s="8"/>
      <c r="H57" s="132"/>
      <c r="I57" s="72"/>
      <c r="J57" s="88"/>
    </row>
    <row r="58" spans="1:12" ht="15" thickBot="1" x14ac:dyDescent="0.25">
      <c r="A58" s="31" t="s">
        <v>228</v>
      </c>
      <c r="B58" s="89" t="s">
        <v>88</v>
      </c>
      <c r="C58" s="10">
        <v>99560</v>
      </c>
      <c r="D58" s="10">
        <v>99560</v>
      </c>
      <c r="E58" s="11">
        <v>110000</v>
      </c>
      <c r="F58" s="124">
        <v>59795.51</v>
      </c>
      <c r="G58" s="11">
        <f>E58-F58</f>
        <v>50204.49</v>
      </c>
      <c r="H58" s="135">
        <v>110000</v>
      </c>
      <c r="I58" s="9"/>
      <c r="J58" s="90">
        <v>120000</v>
      </c>
    </row>
    <row r="59" spans="1:12" ht="15" thickBot="1" x14ac:dyDescent="0.25">
      <c r="A59" s="1" t="s">
        <v>89</v>
      </c>
      <c r="B59" s="91" t="s">
        <v>90</v>
      </c>
      <c r="C59" s="10">
        <v>5000</v>
      </c>
      <c r="D59" s="10">
        <v>5000</v>
      </c>
      <c r="E59" s="11">
        <v>5000</v>
      </c>
      <c r="F59" s="124">
        <v>0</v>
      </c>
      <c r="G59" s="11">
        <v>5000</v>
      </c>
      <c r="H59" s="135">
        <v>5000</v>
      </c>
      <c r="I59" s="9"/>
      <c r="J59" s="92">
        <v>5000</v>
      </c>
    </row>
    <row r="60" spans="1:12" ht="15" thickBot="1" x14ac:dyDescent="0.25">
      <c r="A60" s="37" t="s">
        <v>91</v>
      </c>
      <c r="B60" s="93" t="s">
        <v>92</v>
      </c>
      <c r="C60" s="10">
        <f>153274.16*51%</f>
        <v>78169.82160000001</v>
      </c>
      <c r="D60" s="10">
        <f>153274.16*51%</f>
        <v>78169.82160000001</v>
      </c>
      <c r="E60" s="11">
        <v>81130.63</v>
      </c>
      <c r="F60" s="124">
        <v>35673.980000000003</v>
      </c>
      <c r="G60" s="11">
        <f t="shared" ref="G60:G80" si="6">E60-F60</f>
        <v>45456.65</v>
      </c>
      <c r="H60" s="135">
        <v>81130.63</v>
      </c>
      <c r="I60" s="9"/>
      <c r="J60" s="63">
        <v>82012.36</v>
      </c>
    </row>
    <row r="61" spans="1:12" ht="15" thickBot="1" x14ac:dyDescent="0.25">
      <c r="A61" s="37" t="s">
        <v>93</v>
      </c>
      <c r="B61" s="93" t="s">
        <v>94</v>
      </c>
      <c r="C61" s="33">
        <f>153274.16*43%</f>
        <v>65907.888800000001</v>
      </c>
      <c r="D61" s="33">
        <f>153274.16*43%</f>
        <v>65907.888800000001</v>
      </c>
      <c r="E61" s="34">
        <v>68404.25</v>
      </c>
      <c r="F61" s="124">
        <v>30078.080000000002</v>
      </c>
      <c r="G61" s="59">
        <f t="shared" si="6"/>
        <v>38326.17</v>
      </c>
      <c r="H61" s="141">
        <v>68404.25</v>
      </c>
      <c r="I61" s="35"/>
      <c r="J61" s="63">
        <v>69147.67</v>
      </c>
    </row>
    <row r="62" spans="1:12" ht="15" thickBot="1" x14ac:dyDescent="0.25">
      <c r="A62" s="37" t="s">
        <v>95</v>
      </c>
      <c r="B62" s="93" t="s">
        <v>96</v>
      </c>
      <c r="C62" s="10">
        <f>153274.16*6%</f>
        <v>9196.4495999999999</v>
      </c>
      <c r="D62" s="10">
        <f>153274.16*6%</f>
        <v>9196.4495999999999</v>
      </c>
      <c r="E62" s="11">
        <v>9544.7800000000007</v>
      </c>
      <c r="F62" s="124">
        <v>4196.91</v>
      </c>
      <c r="G62" s="11">
        <f t="shared" si="6"/>
        <v>5347.8700000000008</v>
      </c>
      <c r="H62" s="135">
        <v>9544.7800000000007</v>
      </c>
      <c r="I62" s="9"/>
      <c r="J62" s="63">
        <v>9648.51</v>
      </c>
    </row>
    <row r="63" spans="1:12" ht="15" thickBot="1" x14ac:dyDescent="0.25">
      <c r="A63" s="32" t="s">
        <v>97</v>
      </c>
      <c r="B63" s="94" t="s">
        <v>98</v>
      </c>
      <c r="C63" s="33">
        <v>12750</v>
      </c>
      <c r="D63" s="33">
        <v>12750</v>
      </c>
      <c r="E63" s="34">
        <v>12750</v>
      </c>
      <c r="F63" s="124">
        <v>7475.78</v>
      </c>
      <c r="G63" s="11">
        <f t="shared" si="6"/>
        <v>5274.22</v>
      </c>
      <c r="H63" s="141">
        <v>12750</v>
      </c>
      <c r="I63" s="35"/>
      <c r="J63" s="63">
        <v>12750</v>
      </c>
    </row>
    <row r="64" spans="1:12" ht="15" thickBot="1" x14ac:dyDescent="0.25">
      <c r="A64" s="36" t="s">
        <v>99</v>
      </c>
      <c r="B64" s="95" t="s">
        <v>100</v>
      </c>
      <c r="C64" s="10">
        <v>10750</v>
      </c>
      <c r="D64" s="10">
        <v>10750</v>
      </c>
      <c r="E64" s="11">
        <v>10750</v>
      </c>
      <c r="F64" s="124">
        <v>6303.11</v>
      </c>
      <c r="G64" s="11">
        <f t="shared" si="6"/>
        <v>4446.8900000000003</v>
      </c>
      <c r="H64" s="135">
        <v>10750</v>
      </c>
      <c r="I64" s="9"/>
      <c r="J64" s="63">
        <v>10750</v>
      </c>
    </row>
    <row r="65" spans="1:10" s="61" customFormat="1" ht="15" thickBot="1" x14ac:dyDescent="0.25">
      <c r="A65" s="36" t="s">
        <v>101</v>
      </c>
      <c r="B65" s="93" t="s">
        <v>102</v>
      </c>
      <c r="C65" s="10">
        <v>1500</v>
      </c>
      <c r="D65" s="10">
        <v>1500</v>
      </c>
      <c r="E65" s="11">
        <v>1500</v>
      </c>
      <c r="F65" s="124">
        <v>879.5</v>
      </c>
      <c r="G65" s="11">
        <f t="shared" si="6"/>
        <v>620.5</v>
      </c>
      <c r="H65" s="135">
        <v>1500</v>
      </c>
      <c r="I65" s="9"/>
      <c r="J65" s="63">
        <v>1500</v>
      </c>
    </row>
    <row r="66" spans="1:10" s="61" customFormat="1" ht="15" thickBot="1" x14ac:dyDescent="0.25">
      <c r="A66" s="36" t="s">
        <v>103</v>
      </c>
      <c r="B66" s="96" t="s">
        <v>104</v>
      </c>
      <c r="C66" s="10">
        <f>13855.83*51%</f>
        <v>7066.4732999999997</v>
      </c>
      <c r="D66" s="10">
        <f>13855.83*51%</f>
        <v>7066.4732999999997</v>
      </c>
      <c r="E66" s="11">
        <v>7181.87</v>
      </c>
      <c r="F66" s="124">
        <v>3257.33</v>
      </c>
      <c r="G66" s="11">
        <f t="shared" si="6"/>
        <v>3924.54</v>
      </c>
      <c r="H66" s="135">
        <v>7181.87</v>
      </c>
      <c r="I66" s="9"/>
      <c r="J66" s="63">
        <v>7249.32</v>
      </c>
    </row>
    <row r="67" spans="1:10" s="61" customFormat="1" ht="15" thickBot="1" x14ac:dyDescent="0.25">
      <c r="A67" s="36" t="s">
        <v>105</v>
      </c>
      <c r="B67" s="95" t="s">
        <v>106</v>
      </c>
      <c r="C67" s="10">
        <f>13855.83*43%</f>
        <v>5958.0069000000003</v>
      </c>
      <c r="D67" s="10">
        <f>13855.83*43%</f>
        <v>5958.0069000000003</v>
      </c>
      <c r="E67" s="11">
        <v>6055.3</v>
      </c>
      <c r="F67" s="124">
        <v>2746.36</v>
      </c>
      <c r="G67" s="11">
        <f t="shared" si="6"/>
        <v>3308.94</v>
      </c>
      <c r="H67" s="135">
        <v>6055.3</v>
      </c>
      <c r="I67" s="9"/>
      <c r="J67" s="63">
        <v>6112.17</v>
      </c>
    </row>
    <row r="68" spans="1:10" s="61" customFormat="1" ht="15" thickBot="1" x14ac:dyDescent="0.25">
      <c r="A68" s="36" t="s">
        <v>107</v>
      </c>
      <c r="B68" s="93" t="s">
        <v>108</v>
      </c>
      <c r="C68" s="10">
        <f>13855.83*6%</f>
        <v>831.34979999999996</v>
      </c>
      <c r="D68" s="10">
        <f>13855.83*6%</f>
        <v>831.34979999999996</v>
      </c>
      <c r="E68" s="11">
        <v>844.93</v>
      </c>
      <c r="F68" s="124">
        <v>383.21</v>
      </c>
      <c r="G68" s="11">
        <f t="shared" si="6"/>
        <v>461.71999999999997</v>
      </c>
      <c r="H68" s="135">
        <v>844.93</v>
      </c>
      <c r="I68" s="9"/>
      <c r="J68" s="63">
        <v>852.86</v>
      </c>
    </row>
    <row r="69" spans="1:10" s="61" customFormat="1" ht="15" thickBot="1" x14ac:dyDescent="0.25">
      <c r="A69" s="36" t="s">
        <v>109</v>
      </c>
      <c r="B69" s="93" t="s">
        <v>110</v>
      </c>
      <c r="C69" s="10">
        <f>13620.37*51%</f>
        <v>6946.3887000000004</v>
      </c>
      <c r="D69" s="10">
        <f>13620.37*51%</f>
        <v>6946.3887000000004</v>
      </c>
      <c r="E69" s="11">
        <v>7059.82</v>
      </c>
      <c r="F69" s="124">
        <v>3987.92</v>
      </c>
      <c r="G69" s="11">
        <f t="shared" si="6"/>
        <v>3071.8999999999996</v>
      </c>
      <c r="H69" s="135">
        <v>7059.82</v>
      </c>
      <c r="I69" s="9"/>
      <c r="J69" s="63">
        <v>7872.37</v>
      </c>
    </row>
    <row r="70" spans="1:10" s="61" customFormat="1" ht="15" thickBot="1" x14ac:dyDescent="0.25">
      <c r="A70" s="36" t="s">
        <v>111</v>
      </c>
      <c r="B70" s="93" t="s">
        <v>112</v>
      </c>
      <c r="C70" s="10">
        <f>13620.37*43%</f>
        <v>5856.7591000000002</v>
      </c>
      <c r="D70" s="10">
        <f>13620.37*43%</f>
        <v>5856.7591000000002</v>
      </c>
      <c r="E70" s="11">
        <v>5952.4</v>
      </c>
      <c r="F70" s="124">
        <v>3362.36</v>
      </c>
      <c r="G70" s="11">
        <f t="shared" si="6"/>
        <v>2590.0399999999995</v>
      </c>
      <c r="H70" s="135">
        <v>5952.4</v>
      </c>
      <c r="I70" s="38"/>
      <c r="J70" s="63">
        <v>6599.55</v>
      </c>
    </row>
    <row r="71" spans="1:10" s="61" customFormat="1" ht="15" thickBot="1" x14ac:dyDescent="0.25">
      <c r="A71" s="36" t="s">
        <v>113</v>
      </c>
      <c r="B71" s="93" t="s">
        <v>114</v>
      </c>
      <c r="C71" s="10">
        <f>13620.37*6%</f>
        <v>817.22220000000004</v>
      </c>
      <c r="D71" s="10">
        <f>13620.37*6%</f>
        <v>817.22220000000004</v>
      </c>
      <c r="E71" s="11">
        <v>830.57</v>
      </c>
      <c r="F71" s="124">
        <v>469.11</v>
      </c>
      <c r="G71" s="11">
        <f t="shared" si="6"/>
        <v>361.46000000000004</v>
      </c>
      <c r="H71" s="135">
        <v>830.57</v>
      </c>
      <c r="I71" s="38"/>
      <c r="J71" s="63">
        <v>920.87</v>
      </c>
    </row>
    <row r="72" spans="1:10" s="61" customFormat="1" ht="15" thickBot="1" x14ac:dyDescent="0.25">
      <c r="A72" s="1" t="s">
        <v>115</v>
      </c>
      <c r="B72" s="73" t="s">
        <v>116</v>
      </c>
      <c r="C72" s="10">
        <v>21853.200000000001</v>
      </c>
      <c r="D72" s="10">
        <v>21853.200000000001</v>
      </c>
      <c r="E72" s="11">
        <v>22204.91</v>
      </c>
      <c r="F72" s="124">
        <v>5759.88</v>
      </c>
      <c r="G72" s="11">
        <f t="shared" si="6"/>
        <v>16445.03</v>
      </c>
      <c r="H72" s="135">
        <v>22204.91</v>
      </c>
      <c r="I72" s="38"/>
      <c r="J72" s="63">
        <f>15897.32+5990.38</f>
        <v>21887.7</v>
      </c>
    </row>
    <row r="73" spans="1:10" s="61" customFormat="1" ht="15" thickBot="1" x14ac:dyDescent="0.25">
      <c r="A73" s="1" t="s">
        <v>117</v>
      </c>
      <c r="B73" s="73" t="s">
        <v>118</v>
      </c>
      <c r="C73" s="10">
        <v>18425.25</v>
      </c>
      <c r="D73" s="10">
        <v>18425.25</v>
      </c>
      <c r="E73" s="11">
        <v>18721.78</v>
      </c>
      <c r="F73" s="124">
        <v>4856.3999999999996</v>
      </c>
      <c r="G73" s="11">
        <f t="shared" si="6"/>
        <v>13865.38</v>
      </c>
      <c r="H73" s="135">
        <v>18721.78</v>
      </c>
      <c r="I73" s="38"/>
      <c r="J73" s="63">
        <f>13403.62+5050.71</f>
        <v>18454.330000000002</v>
      </c>
    </row>
    <row r="74" spans="1:10" s="61" customFormat="1" ht="15" thickBot="1" x14ac:dyDescent="0.25">
      <c r="A74" s="1" t="s">
        <v>119</v>
      </c>
      <c r="B74" s="73" t="s">
        <v>120</v>
      </c>
      <c r="C74" s="10">
        <v>2570.96</v>
      </c>
      <c r="D74" s="10">
        <v>2570.96</v>
      </c>
      <c r="E74" s="11">
        <v>2612.34</v>
      </c>
      <c r="F74" s="124">
        <v>677.64</v>
      </c>
      <c r="G74" s="11">
        <f t="shared" si="6"/>
        <v>1934.7000000000003</v>
      </c>
      <c r="H74" s="135">
        <v>2612.34</v>
      </c>
      <c r="I74" s="38"/>
      <c r="J74" s="63">
        <f>1870.27+704.75</f>
        <v>2575.02</v>
      </c>
    </row>
    <row r="75" spans="1:10" s="61" customFormat="1" ht="15" thickBot="1" x14ac:dyDescent="0.3">
      <c r="A75" s="36" t="s">
        <v>121</v>
      </c>
      <c r="B75" s="93" t="s">
        <v>122</v>
      </c>
      <c r="C75" s="10">
        <f>(137.4*4)*51%</f>
        <v>280.29599999999999</v>
      </c>
      <c r="D75" s="10">
        <f>(137.4*4)*51%</f>
        <v>280.29599999999999</v>
      </c>
      <c r="E75" s="11">
        <v>280.3</v>
      </c>
      <c r="F75" s="11">
        <v>0</v>
      </c>
      <c r="G75" s="39">
        <f t="shared" si="6"/>
        <v>280.3</v>
      </c>
      <c r="H75" s="135">
        <v>280.3</v>
      </c>
      <c r="I75" s="38"/>
      <c r="J75" s="63">
        <v>290.11</v>
      </c>
    </row>
    <row r="76" spans="1:10" s="61" customFormat="1" ht="15" thickBot="1" x14ac:dyDescent="0.3">
      <c r="A76" s="1" t="s">
        <v>123</v>
      </c>
      <c r="B76" s="73" t="s">
        <v>124</v>
      </c>
      <c r="C76" s="10">
        <f>(137.4*4)*43%</f>
        <v>236.328</v>
      </c>
      <c r="D76" s="10">
        <f>(137.4*4)*43%</f>
        <v>236.328</v>
      </c>
      <c r="E76" s="11">
        <v>236.33</v>
      </c>
      <c r="F76" s="11">
        <v>0</v>
      </c>
      <c r="G76" s="39">
        <f t="shared" si="6"/>
        <v>236.33</v>
      </c>
      <c r="H76" s="135">
        <v>236.33</v>
      </c>
      <c r="I76" s="38"/>
      <c r="J76" s="63">
        <v>244.6</v>
      </c>
    </row>
    <row r="77" spans="1:10" s="61" customFormat="1" ht="15" thickBot="1" x14ac:dyDescent="0.3">
      <c r="A77" s="32" t="s">
        <v>125</v>
      </c>
      <c r="B77" s="95" t="s">
        <v>126</v>
      </c>
      <c r="C77" s="10">
        <f>(137.4*4)*6%</f>
        <v>32.975999999999999</v>
      </c>
      <c r="D77" s="10">
        <f>(137.4*4)*6%</f>
        <v>32.975999999999999</v>
      </c>
      <c r="E77" s="11">
        <v>32.979999999999997</v>
      </c>
      <c r="F77" s="11">
        <v>0</v>
      </c>
      <c r="G77" s="39">
        <f t="shared" si="6"/>
        <v>32.979999999999997</v>
      </c>
      <c r="H77" s="135">
        <v>32.979999999999997</v>
      </c>
      <c r="I77" s="38"/>
      <c r="J77" s="63">
        <v>34.130000000000003</v>
      </c>
    </row>
    <row r="78" spans="1:10" s="61" customFormat="1" ht="15" thickBot="1" x14ac:dyDescent="0.3">
      <c r="A78" s="1" t="s">
        <v>127</v>
      </c>
      <c r="B78" s="73" t="s">
        <v>128</v>
      </c>
      <c r="C78" s="10">
        <v>6807.28</v>
      </c>
      <c r="D78" s="10">
        <v>6807.28</v>
      </c>
      <c r="E78" s="39">
        <v>7665.72</v>
      </c>
      <c r="F78" s="11">
        <v>0</v>
      </c>
      <c r="G78" s="39">
        <f t="shared" si="6"/>
        <v>7665.72</v>
      </c>
      <c r="H78" s="145">
        <v>7665.72</v>
      </c>
      <c r="I78" s="38"/>
      <c r="J78" s="63">
        <v>9475.07</v>
      </c>
    </row>
    <row r="79" spans="1:10" s="61" customFormat="1" ht="15" thickBot="1" x14ac:dyDescent="0.3">
      <c r="A79" s="1" t="s">
        <v>129</v>
      </c>
      <c r="B79" s="73" t="s">
        <v>130</v>
      </c>
      <c r="C79" s="10">
        <v>5739.47</v>
      </c>
      <c r="D79" s="10">
        <v>5739.47</v>
      </c>
      <c r="E79" s="11">
        <v>6463.25</v>
      </c>
      <c r="F79" s="11">
        <v>0</v>
      </c>
      <c r="G79" s="39">
        <f t="shared" si="6"/>
        <v>6463.25</v>
      </c>
      <c r="H79" s="135">
        <v>6463.25</v>
      </c>
      <c r="I79" s="38"/>
      <c r="J79" s="63">
        <v>7988.78</v>
      </c>
    </row>
    <row r="80" spans="1:10" s="61" customFormat="1" ht="15" thickBot="1" x14ac:dyDescent="0.3">
      <c r="A80" s="1" t="s">
        <v>131</v>
      </c>
      <c r="B80" s="73" t="s">
        <v>132</v>
      </c>
      <c r="C80" s="10">
        <v>800.85</v>
      </c>
      <c r="D80" s="10">
        <v>800.85</v>
      </c>
      <c r="E80" s="11">
        <v>904.66</v>
      </c>
      <c r="F80" s="11">
        <v>0</v>
      </c>
      <c r="G80" s="39">
        <f t="shared" si="6"/>
        <v>904.66</v>
      </c>
      <c r="H80" s="135">
        <v>904.66</v>
      </c>
      <c r="I80" s="38"/>
      <c r="J80" s="63">
        <v>1114.72</v>
      </c>
    </row>
    <row r="81" spans="1:10" s="61" customFormat="1" ht="15" thickBot="1" x14ac:dyDescent="0.3">
      <c r="A81" s="1"/>
      <c r="B81" s="73"/>
      <c r="C81" s="10"/>
      <c r="D81" s="10"/>
      <c r="E81" s="11"/>
      <c r="F81" s="11"/>
      <c r="G81" s="39"/>
      <c r="H81" s="135"/>
      <c r="I81" s="38"/>
      <c r="J81" s="63"/>
    </row>
    <row r="82" spans="1:10" s="61" customFormat="1" ht="15" thickBot="1" x14ac:dyDescent="0.25">
      <c r="A82" s="1" t="s">
        <v>133</v>
      </c>
      <c r="B82" s="73" t="s">
        <v>134</v>
      </c>
      <c r="C82" s="10">
        <v>5610</v>
      </c>
      <c r="D82" s="10">
        <v>5610</v>
      </c>
      <c r="E82" s="11">
        <f>10000*51%</f>
        <v>5100</v>
      </c>
      <c r="F82" s="124">
        <v>1285.2</v>
      </c>
      <c r="G82" s="39">
        <f t="shared" ref="G82:G110" si="7">E82-F82</f>
        <v>3814.8</v>
      </c>
      <c r="H82" s="135">
        <f>10000*51%</f>
        <v>5100</v>
      </c>
      <c r="I82" s="38"/>
      <c r="J82" s="63">
        <v>5100</v>
      </c>
    </row>
    <row r="83" spans="1:10" s="61" customFormat="1" ht="15" thickBot="1" x14ac:dyDescent="0.25">
      <c r="A83" s="1" t="s">
        <v>135</v>
      </c>
      <c r="B83" s="73" t="s">
        <v>136</v>
      </c>
      <c r="C83" s="10">
        <v>4730</v>
      </c>
      <c r="D83" s="10">
        <v>4730</v>
      </c>
      <c r="E83" s="11">
        <f>10000*43%</f>
        <v>4300</v>
      </c>
      <c r="F83" s="124">
        <v>1083.5999999999999</v>
      </c>
      <c r="G83" s="39">
        <f t="shared" si="7"/>
        <v>3216.4</v>
      </c>
      <c r="H83" s="135">
        <f>10000*43%</f>
        <v>4300</v>
      </c>
      <c r="I83" s="38"/>
      <c r="J83" s="63">
        <v>4300</v>
      </c>
    </row>
    <row r="84" spans="1:10" s="61" customFormat="1" ht="15" thickBot="1" x14ac:dyDescent="0.25">
      <c r="A84" s="1" t="s">
        <v>137</v>
      </c>
      <c r="B84" s="73" t="s">
        <v>138</v>
      </c>
      <c r="C84" s="10">
        <v>660</v>
      </c>
      <c r="D84" s="10">
        <v>660</v>
      </c>
      <c r="E84" s="11">
        <f>10000*6%</f>
        <v>600</v>
      </c>
      <c r="F84" s="129">
        <v>151.19999999999999</v>
      </c>
      <c r="G84" s="39">
        <f t="shared" si="7"/>
        <v>448.8</v>
      </c>
      <c r="H84" s="135">
        <f>10000*6%</f>
        <v>600</v>
      </c>
      <c r="I84" s="38"/>
      <c r="J84" s="63">
        <v>600</v>
      </c>
    </row>
    <row r="85" spans="1:10" s="61" customFormat="1" ht="15" thickBot="1" x14ac:dyDescent="0.25">
      <c r="A85" s="1" t="s">
        <v>139</v>
      </c>
      <c r="B85" s="73" t="s">
        <v>140</v>
      </c>
      <c r="C85" s="10">
        <v>5000</v>
      </c>
      <c r="D85" s="10">
        <v>5000</v>
      </c>
      <c r="E85" s="11">
        <f>11000*51%</f>
        <v>5610</v>
      </c>
      <c r="F85" s="124">
        <v>0</v>
      </c>
      <c r="G85" s="39">
        <f t="shared" si="7"/>
        <v>5610</v>
      </c>
      <c r="H85" s="135">
        <f>11000*51%</f>
        <v>5610</v>
      </c>
      <c r="I85" s="38"/>
      <c r="J85" s="120">
        <v>5610</v>
      </c>
    </row>
    <row r="86" spans="1:10" s="61" customFormat="1" ht="15" thickBot="1" x14ac:dyDescent="0.25">
      <c r="A86" s="32" t="s">
        <v>141</v>
      </c>
      <c r="B86" s="95" t="s">
        <v>142</v>
      </c>
      <c r="C86" s="10">
        <v>2000</v>
      </c>
      <c r="D86" s="10">
        <v>2000</v>
      </c>
      <c r="E86" s="11">
        <f>11000*43%</f>
        <v>4730</v>
      </c>
      <c r="F86" s="124">
        <v>0</v>
      </c>
      <c r="G86" s="39">
        <f t="shared" si="7"/>
        <v>4730</v>
      </c>
      <c r="H86" s="135">
        <f>11000*43%</f>
        <v>4730</v>
      </c>
      <c r="I86" s="38"/>
      <c r="J86" s="120">
        <v>4730</v>
      </c>
    </row>
    <row r="87" spans="1:10" s="61" customFormat="1" ht="15" thickBot="1" x14ac:dyDescent="0.25">
      <c r="A87" s="36" t="s">
        <v>143</v>
      </c>
      <c r="B87" s="93" t="s">
        <v>144</v>
      </c>
      <c r="C87" s="10">
        <v>4000</v>
      </c>
      <c r="D87" s="10">
        <v>4000</v>
      </c>
      <c r="E87" s="11">
        <f>11000*6%</f>
        <v>660</v>
      </c>
      <c r="F87" s="124">
        <v>0</v>
      </c>
      <c r="G87" s="39">
        <f t="shared" si="7"/>
        <v>660</v>
      </c>
      <c r="H87" s="135">
        <f>11000*6%</f>
        <v>660</v>
      </c>
      <c r="I87" s="38"/>
      <c r="J87" s="120">
        <v>660</v>
      </c>
    </row>
    <row r="88" spans="1:10" s="61" customFormat="1" ht="15" thickBot="1" x14ac:dyDescent="0.25">
      <c r="A88" s="36" t="s">
        <v>145</v>
      </c>
      <c r="B88" s="93" t="s">
        <v>146</v>
      </c>
      <c r="C88" s="10">
        <v>1000</v>
      </c>
      <c r="D88" s="10">
        <v>1000</v>
      </c>
      <c r="E88" s="11">
        <v>1000</v>
      </c>
      <c r="F88" s="124">
        <v>0</v>
      </c>
      <c r="G88" s="39">
        <f t="shared" si="7"/>
        <v>1000</v>
      </c>
      <c r="H88" s="135">
        <v>1000</v>
      </c>
      <c r="I88" s="38"/>
      <c r="J88" s="120">
        <v>1000</v>
      </c>
    </row>
    <row r="89" spans="1:10" s="61" customFormat="1" ht="15" thickBot="1" x14ac:dyDescent="0.25">
      <c r="A89" s="36" t="s">
        <v>147</v>
      </c>
      <c r="B89" s="93" t="s">
        <v>148</v>
      </c>
      <c r="C89" s="10">
        <v>1000</v>
      </c>
      <c r="D89" s="10">
        <v>1000</v>
      </c>
      <c r="E89" s="11">
        <v>1000</v>
      </c>
      <c r="F89" s="124">
        <v>0</v>
      </c>
      <c r="G89" s="39">
        <f t="shared" si="7"/>
        <v>1000</v>
      </c>
      <c r="H89" s="135">
        <v>1000</v>
      </c>
      <c r="I89" s="38"/>
      <c r="J89" s="120">
        <v>1000</v>
      </c>
    </row>
    <row r="90" spans="1:10" s="61" customFormat="1" ht="15" thickBot="1" x14ac:dyDescent="0.25">
      <c r="A90" s="36" t="s">
        <v>149</v>
      </c>
      <c r="B90" s="93" t="s">
        <v>150</v>
      </c>
      <c r="C90" s="10">
        <v>3750</v>
      </c>
      <c r="D90" s="10">
        <v>3750</v>
      </c>
      <c r="E90" s="11">
        <v>3750</v>
      </c>
      <c r="F90" s="124">
        <v>0</v>
      </c>
      <c r="G90" s="39">
        <f t="shared" si="7"/>
        <v>3750</v>
      </c>
      <c r="H90" s="135">
        <v>3750</v>
      </c>
      <c r="I90" s="38"/>
      <c r="J90" s="120">
        <v>3750</v>
      </c>
    </row>
    <row r="91" spans="1:10" s="61" customFormat="1" ht="15" thickBot="1" x14ac:dyDescent="0.25">
      <c r="A91" s="1" t="s">
        <v>151</v>
      </c>
      <c r="B91" s="73" t="s">
        <v>152</v>
      </c>
      <c r="C91" s="10">
        <v>0</v>
      </c>
      <c r="D91" s="10">
        <v>0</v>
      </c>
      <c r="E91" s="11">
        <v>1000</v>
      </c>
      <c r="F91" s="124">
        <v>0</v>
      </c>
      <c r="G91" s="39">
        <f t="shared" si="7"/>
        <v>1000</v>
      </c>
      <c r="H91" s="135">
        <v>1000</v>
      </c>
      <c r="I91" s="38"/>
      <c r="J91" s="120">
        <v>1000</v>
      </c>
    </row>
    <row r="92" spans="1:10" s="61" customFormat="1" ht="15" thickBot="1" x14ac:dyDescent="0.25">
      <c r="A92" s="40" t="s">
        <v>153</v>
      </c>
      <c r="B92" s="97" t="s">
        <v>154</v>
      </c>
      <c r="C92" s="10">
        <v>1530</v>
      </c>
      <c r="D92" s="10">
        <v>1530</v>
      </c>
      <c r="E92" s="11">
        <f>3000*51%</f>
        <v>1530</v>
      </c>
      <c r="F92" s="124">
        <v>484.02</v>
      </c>
      <c r="G92" s="39">
        <f t="shared" si="7"/>
        <v>1045.98</v>
      </c>
      <c r="H92" s="135">
        <f>3000*51%</f>
        <v>1530</v>
      </c>
      <c r="I92" s="38"/>
      <c r="J92" s="63">
        <v>1530</v>
      </c>
    </row>
    <row r="93" spans="1:10" s="61" customFormat="1" ht="15" thickBot="1" x14ac:dyDescent="0.25">
      <c r="A93" s="40" t="s">
        <v>155</v>
      </c>
      <c r="B93" s="97" t="s">
        <v>156</v>
      </c>
      <c r="C93" s="10">
        <v>1290</v>
      </c>
      <c r="D93" s="10">
        <v>1290</v>
      </c>
      <c r="E93" s="11">
        <v>1290</v>
      </c>
      <c r="F93" s="124">
        <v>408.08</v>
      </c>
      <c r="G93" s="39">
        <f t="shared" si="7"/>
        <v>881.92000000000007</v>
      </c>
      <c r="H93" s="135">
        <v>1290</v>
      </c>
      <c r="I93" s="38"/>
      <c r="J93" s="63">
        <v>1290</v>
      </c>
    </row>
    <row r="94" spans="1:10" s="61" customFormat="1" ht="15" thickBot="1" x14ac:dyDescent="0.25">
      <c r="A94" s="40" t="s">
        <v>157</v>
      </c>
      <c r="B94" s="97" t="s">
        <v>158</v>
      </c>
      <c r="C94" s="10">
        <v>180</v>
      </c>
      <c r="D94" s="10">
        <v>180</v>
      </c>
      <c r="E94" s="11">
        <v>180</v>
      </c>
      <c r="F94" s="124">
        <v>56.95</v>
      </c>
      <c r="G94" s="39">
        <f t="shared" si="7"/>
        <v>123.05</v>
      </c>
      <c r="H94" s="135">
        <v>180</v>
      </c>
      <c r="I94" s="38"/>
      <c r="J94" s="63">
        <v>180</v>
      </c>
    </row>
    <row r="95" spans="1:10" s="61" customFormat="1" ht="15" thickBot="1" x14ac:dyDescent="0.25">
      <c r="A95" s="1" t="s">
        <v>159</v>
      </c>
      <c r="B95" s="97" t="s">
        <v>160</v>
      </c>
      <c r="C95" s="10">
        <v>2500</v>
      </c>
      <c r="D95" s="10">
        <v>2500</v>
      </c>
      <c r="E95" s="11">
        <v>2000</v>
      </c>
      <c r="F95" s="124">
        <v>350.55</v>
      </c>
      <c r="G95" s="39">
        <f t="shared" si="7"/>
        <v>1649.45</v>
      </c>
      <c r="H95" s="135">
        <v>2000</v>
      </c>
      <c r="I95" s="38"/>
      <c r="J95" s="63">
        <v>2000</v>
      </c>
    </row>
    <row r="96" spans="1:10" s="61" customFormat="1" ht="15" thickBot="1" x14ac:dyDescent="0.25">
      <c r="A96" s="36" t="s">
        <v>161</v>
      </c>
      <c r="B96" s="93" t="s">
        <v>162</v>
      </c>
      <c r="C96" s="10">
        <v>612</v>
      </c>
      <c r="D96" s="10">
        <v>612</v>
      </c>
      <c r="E96" s="11">
        <v>612</v>
      </c>
      <c r="F96" s="124">
        <v>0</v>
      </c>
      <c r="G96" s="39">
        <f t="shared" si="7"/>
        <v>612</v>
      </c>
      <c r="H96" s="135">
        <v>612</v>
      </c>
      <c r="I96" s="38"/>
      <c r="J96" s="63">
        <v>612</v>
      </c>
    </row>
    <row r="97" spans="1:12" ht="15" thickBot="1" x14ac:dyDescent="0.25">
      <c r="A97" s="36" t="s">
        <v>163</v>
      </c>
      <c r="B97" s="93" t="s">
        <v>164</v>
      </c>
      <c r="C97" s="10">
        <v>516</v>
      </c>
      <c r="D97" s="10">
        <v>516</v>
      </c>
      <c r="E97" s="11">
        <v>516</v>
      </c>
      <c r="F97" s="124">
        <v>0</v>
      </c>
      <c r="G97" s="39">
        <f t="shared" si="7"/>
        <v>516</v>
      </c>
      <c r="H97" s="135">
        <v>516</v>
      </c>
      <c r="I97" s="38"/>
      <c r="J97" s="63">
        <v>516</v>
      </c>
    </row>
    <row r="98" spans="1:12" ht="15" thickBot="1" x14ac:dyDescent="0.25">
      <c r="A98" s="36" t="s">
        <v>165</v>
      </c>
      <c r="B98" s="93" t="s">
        <v>166</v>
      </c>
      <c r="C98" s="10">
        <v>72</v>
      </c>
      <c r="D98" s="10">
        <v>72</v>
      </c>
      <c r="E98" s="11">
        <v>72</v>
      </c>
      <c r="F98" s="124">
        <v>0</v>
      </c>
      <c r="G98" s="39">
        <f t="shared" si="7"/>
        <v>72</v>
      </c>
      <c r="H98" s="135">
        <v>72</v>
      </c>
      <c r="I98" s="38"/>
      <c r="J98" s="63">
        <v>72</v>
      </c>
    </row>
    <row r="99" spans="1:12" ht="15" thickBot="1" x14ac:dyDescent="0.25">
      <c r="A99" s="36" t="s">
        <v>167</v>
      </c>
      <c r="B99" s="93" t="s">
        <v>168</v>
      </c>
      <c r="C99" s="10">
        <v>16951</v>
      </c>
      <c r="D99" s="10">
        <v>16951</v>
      </c>
      <c r="E99" s="11">
        <v>16817.8</v>
      </c>
      <c r="F99" s="124">
        <v>-146.49</v>
      </c>
      <c r="G99" s="39">
        <f t="shared" si="7"/>
        <v>16964.29</v>
      </c>
      <c r="H99" s="135">
        <v>16817.8</v>
      </c>
      <c r="I99" s="38"/>
      <c r="J99" s="63">
        <v>18694.05</v>
      </c>
    </row>
    <row r="100" spans="1:12" ht="15" thickBot="1" x14ac:dyDescent="0.25">
      <c r="A100" s="36" t="s">
        <v>169</v>
      </c>
      <c r="B100" s="93" t="s">
        <v>170</v>
      </c>
      <c r="C100" s="10">
        <v>14292</v>
      </c>
      <c r="D100" s="10">
        <v>14292</v>
      </c>
      <c r="E100" s="11">
        <v>14179.72</v>
      </c>
      <c r="F100" s="124">
        <v>-110.51</v>
      </c>
      <c r="G100" s="39">
        <f t="shared" si="7"/>
        <v>14290.23</v>
      </c>
      <c r="H100" s="135">
        <v>14179.72</v>
      </c>
      <c r="I100" s="38"/>
      <c r="J100" s="63">
        <v>15761.65</v>
      </c>
    </row>
    <row r="101" spans="1:12" ht="15" thickBot="1" x14ac:dyDescent="0.25">
      <c r="A101" s="36" t="s">
        <v>171</v>
      </c>
      <c r="B101" s="93" t="s">
        <v>172</v>
      </c>
      <c r="C101" s="10">
        <v>1994</v>
      </c>
      <c r="D101" s="10">
        <v>1994</v>
      </c>
      <c r="E101" s="41">
        <v>1978.56</v>
      </c>
      <c r="F101" s="124">
        <v>0</v>
      </c>
      <c r="G101" s="52">
        <f t="shared" si="7"/>
        <v>1978.56</v>
      </c>
      <c r="H101" s="146">
        <v>1978.56</v>
      </c>
      <c r="I101" s="38"/>
      <c r="J101" s="63">
        <v>2199.3000000000002</v>
      </c>
    </row>
    <row r="102" spans="1:12" ht="15" thickBot="1" x14ac:dyDescent="0.25">
      <c r="A102" s="36" t="s">
        <v>173</v>
      </c>
      <c r="B102" s="93" t="s">
        <v>174</v>
      </c>
      <c r="C102" s="10">
        <v>12036</v>
      </c>
      <c r="D102" s="10">
        <v>12036</v>
      </c>
      <c r="E102" s="11">
        <v>9486</v>
      </c>
      <c r="F102" s="126">
        <v>3114.6</v>
      </c>
      <c r="G102" s="39">
        <f t="shared" si="7"/>
        <v>6371.4</v>
      </c>
      <c r="H102" s="135">
        <v>9486</v>
      </c>
      <c r="I102" s="38"/>
      <c r="J102" s="63">
        <v>9486</v>
      </c>
    </row>
    <row r="103" spans="1:12" ht="15" thickBot="1" x14ac:dyDescent="0.25">
      <c r="A103" s="1" t="s">
        <v>175</v>
      </c>
      <c r="B103" s="73" t="s">
        <v>176</v>
      </c>
      <c r="C103" s="10">
        <v>10148</v>
      </c>
      <c r="D103" s="10">
        <v>10148</v>
      </c>
      <c r="E103" s="11">
        <v>7998</v>
      </c>
      <c r="F103" s="126">
        <v>2637.77</v>
      </c>
      <c r="G103" s="39">
        <f t="shared" si="7"/>
        <v>5360.23</v>
      </c>
      <c r="H103" s="135">
        <v>7998</v>
      </c>
      <c r="I103" s="38"/>
      <c r="J103" s="63">
        <v>7998</v>
      </c>
    </row>
    <row r="104" spans="1:12" ht="15" thickBot="1" x14ac:dyDescent="0.25">
      <c r="A104" s="32" t="s">
        <v>177</v>
      </c>
      <c r="B104" s="95" t="s">
        <v>178</v>
      </c>
      <c r="C104" s="10">
        <v>1416</v>
      </c>
      <c r="D104" s="10">
        <v>1416</v>
      </c>
      <c r="E104" s="11">
        <v>1116</v>
      </c>
      <c r="F104" s="126">
        <v>403.48</v>
      </c>
      <c r="G104" s="39">
        <f t="shared" si="7"/>
        <v>712.52</v>
      </c>
      <c r="H104" s="135">
        <v>1116</v>
      </c>
      <c r="I104" s="38"/>
      <c r="J104" s="63">
        <v>1116</v>
      </c>
    </row>
    <row r="105" spans="1:12" ht="15" thickBot="1" x14ac:dyDescent="0.25">
      <c r="A105" s="36" t="s">
        <v>179</v>
      </c>
      <c r="B105" s="93" t="s">
        <v>180</v>
      </c>
      <c r="C105" s="10">
        <v>33354</v>
      </c>
      <c r="D105" s="10">
        <v>33354</v>
      </c>
      <c r="E105" s="11">
        <v>28254</v>
      </c>
      <c r="F105" s="124">
        <v>6920.8</v>
      </c>
      <c r="G105" s="39">
        <f t="shared" si="7"/>
        <v>21333.200000000001</v>
      </c>
      <c r="H105" s="135">
        <v>28254</v>
      </c>
      <c r="I105" s="38"/>
      <c r="J105" s="63">
        <v>28254</v>
      </c>
    </row>
    <row r="106" spans="1:12" ht="15" thickBot="1" x14ac:dyDescent="0.25">
      <c r="A106" s="36" t="s">
        <v>181</v>
      </c>
      <c r="B106" s="93" t="s">
        <v>182</v>
      </c>
      <c r="C106" s="10">
        <v>28122</v>
      </c>
      <c r="D106" s="10">
        <v>28122</v>
      </c>
      <c r="E106" s="11">
        <v>23822</v>
      </c>
      <c r="F106" s="124">
        <v>5852.07</v>
      </c>
      <c r="G106" s="39">
        <f t="shared" si="7"/>
        <v>17969.93</v>
      </c>
      <c r="H106" s="135">
        <v>23822</v>
      </c>
      <c r="I106" s="38"/>
      <c r="J106" s="63">
        <v>23822</v>
      </c>
    </row>
    <row r="107" spans="1:12" ht="15" thickBot="1" x14ac:dyDescent="0.25">
      <c r="A107" s="36" t="s">
        <v>183</v>
      </c>
      <c r="B107" s="93" t="s">
        <v>184</v>
      </c>
      <c r="C107" s="10">
        <v>3924</v>
      </c>
      <c r="D107" s="10">
        <v>3924</v>
      </c>
      <c r="E107" s="11">
        <v>3324</v>
      </c>
      <c r="F107" s="124">
        <v>816.56</v>
      </c>
      <c r="G107" s="39">
        <f t="shared" si="7"/>
        <v>2507.44</v>
      </c>
      <c r="H107" s="135">
        <v>3324</v>
      </c>
      <c r="I107" s="38"/>
      <c r="J107" s="63">
        <v>3324</v>
      </c>
    </row>
    <row r="108" spans="1:12" ht="15" thickBot="1" x14ac:dyDescent="0.25">
      <c r="A108" s="36" t="s">
        <v>185</v>
      </c>
      <c r="B108" s="93" t="s">
        <v>186</v>
      </c>
      <c r="C108" s="10">
        <v>27132</v>
      </c>
      <c r="D108" s="10">
        <v>27132</v>
      </c>
      <c r="E108" s="11">
        <v>22032</v>
      </c>
      <c r="F108" s="124">
        <v>0</v>
      </c>
      <c r="G108" s="39">
        <f t="shared" si="7"/>
        <v>22032</v>
      </c>
      <c r="H108" s="135">
        <v>22032</v>
      </c>
      <c r="I108" s="38"/>
      <c r="J108" s="63">
        <v>22032</v>
      </c>
    </row>
    <row r="109" spans="1:12" ht="15" thickBot="1" x14ac:dyDescent="0.25">
      <c r="A109" s="36" t="s">
        <v>187</v>
      </c>
      <c r="B109" s="93" t="s">
        <v>188</v>
      </c>
      <c r="C109" s="10">
        <v>22876</v>
      </c>
      <c r="D109" s="10">
        <v>22876</v>
      </c>
      <c r="E109" s="11">
        <v>18576</v>
      </c>
      <c r="F109" s="124">
        <v>0</v>
      </c>
      <c r="G109" s="39">
        <f t="shared" si="7"/>
        <v>18576</v>
      </c>
      <c r="H109" s="135">
        <v>18576</v>
      </c>
      <c r="I109" s="38"/>
      <c r="J109" s="63">
        <v>18576</v>
      </c>
    </row>
    <row r="110" spans="1:12" ht="15" thickBot="1" x14ac:dyDescent="0.25">
      <c r="A110" s="36" t="s">
        <v>189</v>
      </c>
      <c r="B110" s="93" t="s">
        <v>190</v>
      </c>
      <c r="C110" s="110">
        <v>3192</v>
      </c>
      <c r="D110" s="110">
        <v>3192</v>
      </c>
      <c r="E110" s="111">
        <v>2592</v>
      </c>
      <c r="F110" s="125">
        <v>0</v>
      </c>
      <c r="G110" s="111">
        <f t="shared" si="7"/>
        <v>2592</v>
      </c>
      <c r="H110" s="136">
        <v>2592</v>
      </c>
      <c r="I110" s="116"/>
      <c r="J110" s="85">
        <v>2592</v>
      </c>
    </row>
    <row r="111" spans="1:12" s="106" customFormat="1" ht="16.5" thickTop="1" thickBot="1" x14ac:dyDescent="0.3">
      <c r="A111" s="21" t="s">
        <v>191</v>
      </c>
      <c r="B111" s="119"/>
      <c r="C111" s="13">
        <f t="shared" ref="C111:H111" si="8">SUM(C58:C110)</f>
        <v>576943.97000000009</v>
      </c>
      <c r="D111" s="13">
        <f t="shared" si="8"/>
        <v>576943.97000000009</v>
      </c>
      <c r="E111" s="14">
        <f t="shared" si="8"/>
        <v>570252.89999999991</v>
      </c>
      <c r="F111" s="130">
        <f t="shared" si="8"/>
        <v>193210.95999999996</v>
      </c>
      <c r="G111" s="14">
        <f t="shared" si="8"/>
        <v>377041.94</v>
      </c>
      <c r="H111" s="137">
        <f t="shared" si="8"/>
        <v>570252.89999999991</v>
      </c>
      <c r="I111" s="15"/>
      <c r="J111" s="109">
        <f>SUM(J58:J110)</f>
        <v>590285.1399999999</v>
      </c>
      <c r="K111" s="154"/>
      <c r="L111" s="155"/>
    </row>
    <row r="112" spans="1:12" ht="15" thickBot="1" x14ac:dyDescent="0.25">
      <c r="A112" s="66" t="s">
        <v>192</v>
      </c>
      <c r="B112" s="64" t="s">
        <v>193</v>
      </c>
      <c r="C112" s="10">
        <v>4000</v>
      </c>
      <c r="D112" s="10">
        <v>4000</v>
      </c>
      <c r="E112" s="11">
        <v>53000</v>
      </c>
      <c r="F112" s="124">
        <v>0</v>
      </c>
      <c r="G112" s="11">
        <f>E112-F114</f>
        <v>53000</v>
      </c>
      <c r="H112" s="135">
        <v>53000</v>
      </c>
      <c r="I112" s="60"/>
      <c r="J112" s="63">
        <v>30803</v>
      </c>
    </row>
    <row r="113" spans="1:12" ht="15" thickBot="1" x14ac:dyDescent="0.25">
      <c r="A113" s="66" t="s">
        <v>194</v>
      </c>
      <c r="B113" s="64" t="s">
        <v>195</v>
      </c>
      <c r="C113" s="10">
        <v>6500</v>
      </c>
      <c r="D113" s="10">
        <v>6500</v>
      </c>
      <c r="E113" s="11">
        <v>5000</v>
      </c>
      <c r="F113" s="124">
        <v>0</v>
      </c>
      <c r="G113" s="39">
        <f>E113-F115</f>
        <v>5000</v>
      </c>
      <c r="H113" s="135">
        <v>5000</v>
      </c>
      <c r="I113" s="38"/>
      <c r="J113" s="63">
        <v>10000</v>
      </c>
      <c r="K113" s="61"/>
      <c r="L113" s="61"/>
    </row>
    <row r="114" spans="1:12" ht="15" thickBot="1" x14ac:dyDescent="0.25">
      <c r="A114" s="20" t="s">
        <v>196</v>
      </c>
      <c r="B114" s="73" t="s">
        <v>197</v>
      </c>
      <c r="C114" s="10">
        <v>150000</v>
      </c>
      <c r="D114" s="10">
        <v>150000</v>
      </c>
      <c r="E114" s="11">
        <v>150000</v>
      </c>
      <c r="F114" s="124">
        <v>0</v>
      </c>
      <c r="G114" s="39">
        <f>E114-F114</f>
        <v>150000</v>
      </c>
      <c r="H114" s="135">
        <v>150000</v>
      </c>
      <c r="I114" s="38"/>
      <c r="J114" s="63">
        <v>150000</v>
      </c>
      <c r="K114" s="61"/>
      <c r="L114" s="61"/>
    </row>
    <row r="115" spans="1:12" ht="15.75" thickBot="1" x14ac:dyDescent="0.25">
      <c r="A115" s="1" t="s">
        <v>198</v>
      </c>
      <c r="B115" s="73" t="s">
        <v>199</v>
      </c>
      <c r="C115" s="10">
        <v>255703</v>
      </c>
      <c r="D115" s="122">
        <v>576684</v>
      </c>
      <c r="E115" s="11">
        <v>255703</v>
      </c>
      <c r="F115" s="124">
        <v>0</v>
      </c>
      <c r="G115" s="58">
        <v>255703</v>
      </c>
      <c r="H115" s="147">
        <f>H22</f>
        <v>473719</v>
      </c>
      <c r="I115" s="38"/>
      <c r="J115" s="63">
        <v>350000</v>
      </c>
      <c r="K115" s="61"/>
      <c r="L115" s="61"/>
    </row>
    <row r="116" spans="1:12" ht="15" thickBot="1" x14ac:dyDescent="0.25">
      <c r="A116" s="1" t="s">
        <v>200</v>
      </c>
      <c r="B116" s="73" t="s">
        <v>201</v>
      </c>
      <c r="C116" s="110">
        <v>109783</v>
      </c>
      <c r="D116" s="110">
        <v>0</v>
      </c>
      <c r="E116" s="111">
        <v>0</v>
      </c>
      <c r="F116" s="111">
        <v>0</v>
      </c>
      <c r="G116" s="111">
        <f>E116-F116</f>
        <v>0</v>
      </c>
      <c r="H116" s="148">
        <v>0</v>
      </c>
      <c r="I116" s="116"/>
      <c r="J116" s="85">
        <v>0</v>
      </c>
      <c r="K116" s="61"/>
      <c r="L116" s="61"/>
    </row>
    <row r="117" spans="1:12" ht="16.5" thickTop="1" thickBot="1" x14ac:dyDescent="0.25">
      <c r="A117" s="45" t="s">
        <v>214</v>
      </c>
      <c r="B117" s="73"/>
      <c r="C117" s="42">
        <f t="shared" ref="C117:H117" si="9">SUM(C112:C116)</f>
        <v>525986</v>
      </c>
      <c r="D117" s="42">
        <f t="shared" si="9"/>
        <v>737184</v>
      </c>
      <c r="E117" s="43">
        <f t="shared" si="9"/>
        <v>463703</v>
      </c>
      <c r="F117" s="43">
        <f t="shared" si="9"/>
        <v>0</v>
      </c>
      <c r="G117" s="53">
        <f t="shared" si="9"/>
        <v>463703</v>
      </c>
      <c r="H117" s="149">
        <f t="shared" si="9"/>
        <v>681719</v>
      </c>
      <c r="I117" s="44"/>
      <c r="J117" s="103">
        <f>SUM(J112:J116)</f>
        <v>540803</v>
      </c>
      <c r="K117" s="61"/>
      <c r="L117" s="61"/>
    </row>
    <row r="118" spans="1:12" ht="16.5" thickTop="1" thickBot="1" x14ac:dyDescent="0.25">
      <c r="A118" s="45" t="s">
        <v>202</v>
      </c>
      <c r="B118" s="98"/>
      <c r="C118" s="67">
        <f>C55+C111+C117</f>
        <v>1383573.2540000002</v>
      </c>
      <c r="D118" s="68">
        <f>D55+D111+D117</f>
        <v>1594771.2540000002</v>
      </c>
      <c r="E118" s="70">
        <f>E55+E111+E117</f>
        <v>1326736.8399999999</v>
      </c>
      <c r="F118" s="67">
        <f>F37+F55+F111+F117</f>
        <v>361793.45999999996</v>
      </c>
      <c r="G118" s="102">
        <f>G55+G111+G117</f>
        <v>964943.38</v>
      </c>
      <c r="H118" s="150">
        <f>H55+H111+H117</f>
        <v>1544752.8399999999</v>
      </c>
      <c r="I118" s="69"/>
      <c r="J118" s="81">
        <f>J55+J111+J117</f>
        <v>1458647.7999999998</v>
      </c>
      <c r="K118" s="61"/>
      <c r="L118" s="61"/>
    </row>
    <row r="119" spans="1:12" ht="15" x14ac:dyDescent="0.2">
      <c r="A119" s="48" t="s">
        <v>208</v>
      </c>
      <c r="B119" s="99"/>
      <c r="C119" s="29"/>
      <c r="E119" s="30"/>
      <c r="F119" s="29"/>
      <c r="G119" s="30"/>
      <c r="I119" s="29"/>
      <c r="J119" s="49"/>
      <c r="K119" s="61"/>
      <c r="L119" s="61"/>
    </row>
    <row r="120" spans="1:12" x14ac:dyDescent="0.2">
      <c r="A120" s="50" t="s">
        <v>206</v>
      </c>
      <c r="B120" s="100"/>
      <c r="C120" s="49"/>
      <c r="E120" s="54"/>
      <c r="F120" s="49"/>
      <c r="G120" s="54"/>
      <c r="I120" s="49"/>
      <c r="K120" s="61"/>
      <c r="L120" s="61"/>
    </row>
    <row r="121" spans="1:12" x14ac:dyDescent="0.2">
      <c r="A121" s="46" t="s">
        <v>205</v>
      </c>
      <c r="C121" s="47" t="s">
        <v>5</v>
      </c>
      <c r="E121" s="104" t="s">
        <v>6</v>
      </c>
      <c r="J121" s="104" t="s">
        <v>204</v>
      </c>
      <c r="K121" s="61"/>
      <c r="L121" s="61"/>
    </row>
    <row r="122" spans="1:12" x14ac:dyDescent="0.2">
      <c r="A122" s="101" t="s">
        <v>227</v>
      </c>
      <c r="C122" s="47">
        <f>C118</f>
        <v>1383573.2540000002</v>
      </c>
      <c r="E122" s="58">
        <f>E118</f>
        <v>1326736.8399999999</v>
      </c>
      <c r="J122" s="104">
        <f>J118</f>
        <v>1458647.7999999998</v>
      </c>
      <c r="K122" s="61"/>
      <c r="L122" s="61"/>
    </row>
    <row r="123" spans="1:12" x14ac:dyDescent="0.2">
      <c r="A123" s="101" t="s">
        <v>209</v>
      </c>
      <c r="C123" s="47">
        <v>73.62</v>
      </c>
      <c r="E123" s="58">
        <v>76.97</v>
      </c>
      <c r="J123" s="104">
        <v>70.16</v>
      </c>
      <c r="K123" s="61"/>
      <c r="L123" s="61"/>
    </row>
    <row r="124" spans="1:12" x14ac:dyDescent="0.2">
      <c r="A124" s="101" t="s">
        <v>210</v>
      </c>
      <c r="C124" s="47">
        <v>26.97</v>
      </c>
      <c r="E124" s="58">
        <v>28.29</v>
      </c>
      <c r="J124" s="104">
        <v>26.47</v>
      </c>
      <c r="K124" s="61"/>
      <c r="L124" s="61"/>
    </row>
    <row r="125" spans="1:12" x14ac:dyDescent="0.2">
      <c r="A125" s="101" t="s">
        <v>211</v>
      </c>
      <c r="C125" s="47">
        <v>5.7</v>
      </c>
      <c r="E125" s="58">
        <v>5.87</v>
      </c>
      <c r="J125" s="104">
        <v>5.36</v>
      </c>
      <c r="K125" s="61"/>
      <c r="L125" s="61"/>
    </row>
    <row r="126" spans="1:12" x14ac:dyDescent="0.2">
      <c r="A126" s="101" t="s">
        <v>225</v>
      </c>
      <c r="C126" s="47">
        <v>36.81</v>
      </c>
      <c r="E126" s="58">
        <v>38.479999999999997</v>
      </c>
      <c r="J126" s="104">
        <v>35.08</v>
      </c>
      <c r="K126" s="61"/>
      <c r="L126" s="61"/>
    </row>
  </sheetData>
  <printOptions gridLines="1"/>
  <pageMargins left="0.2" right="0.2" top="1.1499999999999999" bottom="0.5" header="0.3" footer="0.3"/>
  <pageSetup scale="83" fitToHeight="0" orientation="landscape" r:id="rId1"/>
  <headerFooter>
    <oddHeader>&amp;C&amp;"Arial,Bold"&amp;14Barron Water Control District&amp;"Arial,Regular"&amp;11
 2018-19 General Fund
Proposed Budget, May 30, 2018
&amp;"Arial,Bold"Option C (Truck and $10k Contingency)</oddHeader>
    <oddFooter>&amp;Z&amp;F&amp;RPage &amp;P</oddFooter>
  </headerFooter>
  <rowBreaks count="2" manualBreakCount="2">
    <brk id="26" max="16383" man="1"/>
    <brk id="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Option A</vt:lpstr>
      <vt:lpstr>Option B</vt:lpstr>
      <vt:lpstr>Option C</vt:lpstr>
      <vt:lpstr>'Option A'!Print_Titles</vt:lpstr>
      <vt:lpstr>'Option B'!Print_Titles</vt:lpstr>
      <vt:lpstr>'Option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Kennington-Korf</dc:creator>
  <cp:lastModifiedBy>Lupe Taylor</cp:lastModifiedBy>
  <cp:lastPrinted>2018-05-23T14:32:03Z</cp:lastPrinted>
  <dcterms:created xsi:type="dcterms:W3CDTF">2017-06-07T12:00:49Z</dcterms:created>
  <dcterms:modified xsi:type="dcterms:W3CDTF">2018-05-23T18:21:07Z</dcterms:modified>
</cp:coreProperties>
</file>