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4915" windowHeight="12090"/>
  </bookViews>
  <sheets>
    <sheet name="AdoptedD" sheetId="16" r:id="rId1"/>
    <sheet name="LOAcres" sheetId="11" r:id="rId2"/>
    <sheet name="TaxCalc#1" sheetId="6" r:id="rId3"/>
    <sheet name="TaxCalc#2" sheetId="13" r:id="rId4"/>
    <sheet name="TaxCalc#3" sheetId="12" r:id="rId5"/>
    <sheet name="Notes" sheetId="2" r:id="rId6"/>
    <sheet name="TaxRateHist" sheetId="8" r:id="rId7"/>
    <sheet name="SOP" sheetId="15" r:id="rId8"/>
  </sheets>
  <calcPr calcId="145621"/>
</workbook>
</file>

<file path=xl/calcChain.xml><?xml version="1.0" encoding="utf-8"?>
<calcChain xmlns="http://schemas.openxmlformats.org/spreadsheetml/2006/main">
  <c r="B64" i="2" l="1"/>
  <c r="B59" i="2"/>
  <c r="B54" i="2"/>
  <c r="B49" i="2"/>
  <c r="B44" i="2"/>
  <c r="M36" i="12" l="1"/>
  <c r="M48" i="12"/>
  <c r="J5" i="6"/>
  <c r="I12" i="16" l="1"/>
  <c r="P23" i="12" l="1"/>
  <c r="J22" i="12"/>
  <c r="E22" i="12"/>
  <c r="J8" i="6"/>
  <c r="J10" i="6" s="1"/>
  <c r="J12" i="6" s="1"/>
  <c r="J3" i="6"/>
  <c r="J26" i="6"/>
  <c r="J20" i="6"/>
  <c r="J11" i="6"/>
  <c r="J9" i="6"/>
  <c r="J7" i="6"/>
  <c r="J6" i="6"/>
  <c r="G25" i="16"/>
  <c r="G24" i="16"/>
  <c r="G8" i="16"/>
  <c r="J19" i="6" l="1"/>
  <c r="J15" i="6"/>
  <c r="J17" i="6"/>
  <c r="K17" i="6" s="1"/>
  <c r="K30" i="6" s="1"/>
  <c r="J27" i="6"/>
  <c r="K27" i="6" s="1"/>
  <c r="J21" i="6"/>
  <c r="J23" i="6" s="1"/>
  <c r="K23" i="6" s="1"/>
  <c r="J25" i="6"/>
  <c r="E16" i="2" l="1"/>
  <c r="F16" i="2" s="1"/>
  <c r="J16" i="2"/>
  <c r="D10" i="2"/>
  <c r="K123" i="16"/>
  <c r="H123" i="16"/>
  <c r="G123" i="16"/>
  <c r="I123" i="16" s="1"/>
  <c r="F123" i="16"/>
  <c r="C123" i="16"/>
  <c r="I122" i="16"/>
  <c r="I121" i="16"/>
  <c r="I120" i="16"/>
  <c r="I119" i="16"/>
  <c r="I115" i="16"/>
  <c r="I114" i="16"/>
  <c r="I113" i="16"/>
  <c r="I112" i="16"/>
  <c r="I111" i="16"/>
  <c r="I110" i="16"/>
  <c r="K109" i="16"/>
  <c r="I109" i="16"/>
  <c r="K108" i="16"/>
  <c r="I108" i="16"/>
  <c r="K107" i="16"/>
  <c r="I107" i="16"/>
  <c r="K106" i="16"/>
  <c r="I106" i="16"/>
  <c r="K105" i="16"/>
  <c r="I105" i="16"/>
  <c r="K104" i="16"/>
  <c r="I104" i="16"/>
  <c r="I103" i="16"/>
  <c r="I102" i="16"/>
  <c r="I101" i="16"/>
  <c r="I100" i="16"/>
  <c r="H99" i="16"/>
  <c r="I99" i="16" s="1"/>
  <c r="H98" i="16"/>
  <c r="I98" i="16" s="1"/>
  <c r="H97" i="16"/>
  <c r="I97" i="16" s="1"/>
  <c r="D97" i="16"/>
  <c r="C97" i="16"/>
  <c r="I96" i="16"/>
  <c r="I95" i="16"/>
  <c r="I94" i="16"/>
  <c r="I93" i="16"/>
  <c r="I92" i="16"/>
  <c r="D92" i="16"/>
  <c r="C92" i="16"/>
  <c r="I91" i="16"/>
  <c r="D91" i="16"/>
  <c r="C91" i="16"/>
  <c r="I90" i="16"/>
  <c r="D90" i="16"/>
  <c r="C90" i="16"/>
  <c r="H89" i="16"/>
  <c r="I89" i="16" s="1"/>
  <c r="D89" i="16"/>
  <c r="C89" i="16"/>
  <c r="H88" i="16"/>
  <c r="I88" i="16" s="1"/>
  <c r="D88" i="16"/>
  <c r="C88" i="16"/>
  <c r="H87" i="16"/>
  <c r="I87" i="16" s="1"/>
  <c r="D87" i="16"/>
  <c r="C87" i="16"/>
  <c r="D85" i="16"/>
  <c r="C85" i="16"/>
  <c r="K84" i="16"/>
  <c r="I84" i="16"/>
  <c r="K83" i="16"/>
  <c r="I83" i="16"/>
  <c r="K82" i="16"/>
  <c r="I82" i="16"/>
  <c r="K81" i="16"/>
  <c r="I81" i="16"/>
  <c r="K80" i="16"/>
  <c r="I80" i="16"/>
  <c r="K79" i="16"/>
  <c r="I79" i="16"/>
  <c r="K78" i="16"/>
  <c r="G78" i="16"/>
  <c r="I78" i="16" s="1"/>
  <c r="F78" i="16"/>
  <c r="K77" i="16"/>
  <c r="G77" i="16"/>
  <c r="I77" i="16" s="1"/>
  <c r="F77" i="16"/>
  <c r="K76" i="16"/>
  <c r="G76" i="16"/>
  <c r="G85" i="16" s="1"/>
  <c r="F76" i="16"/>
  <c r="I75" i="16"/>
  <c r="I74" i="16"/>
  <c r="I73" i="16"/>
  <c r="I72" i="16"/>
  <c r="I71" i="16"/>
  <c r="I70" i="16"/>
  <c r="K69" i="16"/>
  <c r="H69" i="16"/>
  <c r="I69" i="16" s="1"/>
  <c r="K68" i="16"/>
  <c r="I68" i="16"/>
  <c r="H68" i="16"/>
  <c r="K67" i="16"/>
  <c r="H67" i="16"/>
  <c r="H85" i="16" s="1"/>
  <c r="K66" i="16"/>
  <c r="K72" i="16" s="1"/>
  <c r="I66" i="16"/>
  <c r="K65" i="16"/>
  <c r="K74" i="16" s="1"/>
  <c r="I65" i="16"/>
  <c r="K64" i="16"/>
  <c r="I64" i="16"/>
  <c r="K62" i="16"/>
  <c r="H62" i="16"/>
  <c r="G62" i="16"/>
  <c r="F62" i="16"/>
  <c r="D62" i="16"/>
  <c r="D117" i="16" s="1"/>
  <c r="C62" i="16"/>
  <c r="C117" i="16" s="1"/>
  <c r="I60" i="16"/>
  <c r="I59" i="16"/>
  <c r="I62" i="16" s="1"/>
  <c r="I53" i="16"/>
  <c r="I52" i="16"/>
  <c r="I51" i="16"/>
  <c r="I50" i="16"/>
  <c r="I49" i="16"/>
  <c r="I48" i="16"/>
  <c r="I47" i="16"/>
  <c r="I46" i="16"/>
  <c r="I45" i="16"/>
  <c r="I44" i="16"/>
  <c r="I43" i="16"/>
  <c r="I42" i="16"/>
  <c r="I41" i="16"/>
  <c r="I40" i="16"/>
  <c r="I39" i="16"/>
  <c r="I38" i="16"/>
  <c r="H36" i="16"/>
  <c r="H55" i="16" s="1"/>
  <c r="G36" i="16"/>
  <c r="F36" i="16"/>
  <c r="F55" i="16" s="1"/>
  <c r="K35" i="16"/>
  <c r="I35" i="16"/>
  <c r="I34" i="16"/>
  <c r="D34" i="16"/>
  <c r="C34" i="16"/>
  <c r="I33" i="16"/>
  <c r="D33" i="16"/>
  <c r="C33" i="16"/>
  <c r="C36" i="16" s="1"/>
  <c r="C55" i="16" s="1"/>
  <c r="I32" i="16"/>
  <c r="I31" i="16"/>
  <c r="I30" i="16"/>
  <c r="K29" i="16"/>
  <c r="I29" i="16"/>
  <c r="K28" i="16"/>
  <c r="K32" i="16" s="1"/>
  <c r="I28" i="16"/>
  <c r="K24" i="16"/>
  <c r="F24" i="16"/>
  <c r="F25" i="16" s="1"/>
  <c r="I23" i="16"/>
  <c r="I22" i="16"/>
  <c r="D22" i="16"/>
  <c r="D122" i="16" s="1"/>
  <c r="D123" i="16" s="1"/>
  <c r="C22" i="16"/>
  <c r="C24" i="16" s="1"/>
  <c r="C25" i="16" s="1"/>
  <c r="I21" i="16"/>
  <c r="H20" i="16"/>
  <c r="I20" i="16" s="1"/>
  <c r="I18" i="16"/>
  <c r="I17" i="16"/>
  <c r="I16" i="16"/>
  <c r="I15" i="16"/>
  <c r="I14" i="16"/>
  <c r="I13" i="16"/>
  <c r="I11" i="16"/>
  <c r="I10" i="16"/>
  <c r="K8" i="16"/>
  <c r="K25" i="16" s="1"/>
  <c r="H8" i="16"/>
  <c r="F8" i="16"/>
  <c r="D8" i="16"/>
  <c r="C8" i="16"/>
  <c r="I7" i="16"/>
  <c r="I6" i="16"/>
  <c r="I5" i="16"/>
  <c r="I4" i="16"/>
  <c r="F85" i="16" l="1"/>
  <c r="F117" i="16" s="1"/>
  <c r="F124" i="16" s="1"/>
  <c r="F129" i="16" s="1"/>
  <c r="D36" i="16"/>
  <c r="D55" i="16" s="1"/>
  <c r="I36" i="16"/>
  <c r="I55" i="16" s="1"/>
  <c r="K70" i="16"/>
  <c r="H117" i="16"/>
  <c r="H124" i="16" s="1"/>
  <c r="G55" i="16"/>
  <c r="G124" i="16" s="1"/>
  <c r="I67" i="16"/>
  <c r="I8" i="16"/>
  <c r="C124" i="16"/>
  <c r="C129" i="16" s="1"/>
  <c r="D124" i="16"/>
  <c r="I76" i="16"/>
  <c r="I85" i="16" s="1"/>
  <c r="D24" i="16"/>
  <c r="D25" i="16" s="1"/>
  <c r="H24" i="16"/>
  <c r="K31" i="16"/>
  <c r="K36" i="16" s="1"/>
  <c r="K55" i="16" s="1"/>
  <c r="K71" i="16"/>
  <c r="K85" i="16" s="1"/>
  <c r="K117" i="16" s="1"/>
  <c r="K73" i="16"/>
  <c r="K75" i="16"/>
  <c r="J123" i="12"/>
  <c r="C118" i="12"/>
  <c r="D113" i="12"/>
  <c r="I113" i="12" s="1"/>
  <c r="J113" i="12" s="1"/>
  <c r="I111" i="12"/>
  <c r="J111" i="12" s="1"/>
  <c r="E111" i="12"/>
  <c r="C109" i="12"/>
  <c r="E109" i="12" s="1"/>
  <c r="I107" i="12"/>
  <c r="J107" i="12" s="1"/>
  <c r="C105" i="12"/>
  <c r="I103" i="12"/>
  <c r="J103" i="12" s="1"/>
  <c r="M65" i="12"/>
  <c r="D68" i="12"/>
  <c r="C59" i="12"/>
  <c r="C58" i="12"/>
  <c r="M43" i="12"/>
  <c r="C39" i="12"/>
  <c r="H33" i="12"/>
  <c r="C32" i="12"/>
  <c r="C31" i="12"/>
  <c r="M16" i="12"/>
  <c r="B6" i="6"/>
  <c r="K124" i="16" l="1"/>
  <c r="K129" i="16" s="1"/>
  <c r="H25" i="16"/>
  <c r="I24" i="16"/>
  <c r="I25" i="16" s="1"/>
  <c r="I117" i="16"/>
  <c r="I124" i="16" s="1"/>
  <c r="J114" i="12"/>
  <c r="J120" i="12" s="1"/>
  <c r="C123" i="12"/>
  <c r="C124" i="12" s="1"/>
  <c r="E105" i="12"/>
  <c r="E113" i="12"/>
  <c r="D14" i="12"/>
  <c r="E114" i="12" l="1"/>
  <c r="E120" i="12" s="1"/>
  <c r="S39" i="6" l="1"/>
  <c r="Q217" i="13" l="1"/>
  <c r="S213" i="13"/>
  <c r="Q215" i="13" s="1"/>
  <c r="Q216" i="13" s="1"/>
  <c r="S212" i="13"/>
  <c r="U3" i="13"/>
  <c r="U4" i="13" s="1"/>
  <c r="U5" i="13" s="1"/>
  <c r="U6" i="13" s="1"/>
  <c r="U7" i="13" s="1"/>
  <c r="U8" i="13" s="1"/>
  <c r="U9" i="13" s="1"/>
  <c r="U10" i="13" s="1"/>
  <c r="U11" i="13" s="1"/>
  <c r="U12" i="13" s="1"/>
  <c r="U13" i="13" s="1"/>
  <c r="U14" i="13" s="1"/>
  <c r="U15" i="13" s="1"/>
  <c r="U16" i="13" s="1"/>
  <c r="U17" i="13" s="1"/>
  <c r="U18" i="13" s="1"/>
  <c r="U19" i="13" s="1"/>
  <c r="U20" i="13" s="1"/>
  <c r="U21" i="13" s="1"/>
  <c r="U22" i="13" s="1"/>
  <c r="U23" i="13" s="1"/>
  <c r="U24" i="13" s="1"/>
  <c r="U25" i="13" s="1"/>
  <c r="U26" i="13" s="1"/>
  <c r="U27" i="13" s="1"/>
  <c r="U28" i="13" s="1"/>
  <c r="U29" i="13" s="1"/>
  <c r="U30" i="13" s="1"/>
  <c r="U31" i="13" s="1"/>
  <c r="U32" i="13" s="1"/>
  <c r="U33" i="13" s="1"/>
  <c r="U34" i="13" s="1"/>
  <c r="U35" i="13" s="1"/>
  <c r="U36" i="13" s="1"/>
  <c r="U37" i="13" s="1"/>
  <c r="U38" i="13" s="1"/>
  <c r="U39" i="13" s="1"/>
  <c r="U40" i="13" s="1"/>
  <c r="U41" i="13" s="1"/>
  <c r="U42" i="13" s="1"/>
  <c r="U43" i="13" s="1"/>
  <c r="U44" i="13" s="1"/>
  <c r="U45" i="13" s="1"/>
  <c r="U46" i="13" s="1"/>
  <c r="U47" i="13" s="1"/>
  <c r="U48" i="13" s="1"/>
  <c r="U49" i="13" s="1"/>
  <c r="U50" i="13" s="1"/>
  <c r="U51" i="13" s="1"/>
  <c r="U52" i="13" s="1"/>
  <c r="U53" i="13" s="1"/>
  <c r="U54" i="13" s="1"/>
  <c r="U55" i="13" s="1"/>
  <c r="U56" i="13" s="1"/>
  <c r="U57" i="13" s="1"/>
  <c r="U58" i="13" s="1"/>
  <c r="U59" i="13" s="1"/>
  <c r="U60" i="13" s="1"/>
  <c r="U61" i="13" s="1"/>
  <c r="U62" i="13" s="1"/>
  <c r="U63" i="13" s="1"/>
  <c r="U64" i="13" s="1"/>
  <c r="U65" i="13" s="1"/>
  <c r="U66" i="13" s="1"/>
  <c r="U67" i="13" s="1"/>
  <c r="U68" i="13" s="1"/>
  <c r="U69" i="13" s="1"/>
  <c r="U70" i="13" s="1"/>
  <c r="U71" i="13" s="1"/>
  <c r="U72" i="13" s="1"/>
  <c r="U73" i="13" s="1"/>
  <c r="U74" i="13" s="1"/>
  <c r="U75" i="13" s="1"/>
  <c r="U76" i="13" s="1"/>
  <c r="U77" i="13" s="1"/>
  <c r="U78" i="13" s="1"/>
  <c r="U79" i="13" s="1"/>
  <c r="U80" i="13" s="1"/>
  <c r="U81" i="13" s="1"/>
  <c r="U82" i="13" s="1"/>
  <c r="U83" i="13" s="1"/>
  <c r="U84" i="13" s="1"/>
  <c r="U85" i="13" s="1"/>
  <c r="U86" i="13" s="1"/>
  <c r="U87" i="13" s="1"/>
  <c r="U88" i="13" s="1"/>
  <c r="U89" i="13" s="1"/>
  <c r="U90" i="13" s="1"/>
  <c r="U91" i="13" s="1"/>
  <c r="U92" i="13" s="1"/>
  <c r="U93" i="13" s="1"/>
  <c r="U94" i="13" s="1"/>
  <c r="U95" i="13" s="1"/>
  <c r="U96" i="13" s="1"/>
  <c r="U97" i="13" s="1"/>
  <c r="U98" i="13" s="1"/>
  <c r="U99" i="13" s="1"/>
  <c r="U100" i="13" s="1"/>
  <c r="U101" i="13" s="1"/>
  <c r="U102" i="13" s="1"/>
  <c r="U103" i="13" s="1"/>
  <c r="U104" i="13" s="1"/>
  <c r="U105" i="13" s="1"/>
  <c r="U106" i="13" s="1"/>
  <c r="U107" i="13" s="1"/>
  <c r="U108" i="13" s="1"/>
  <c r="U109" i="13" s="1"/>
  <c r="U110" i="13" s="1"/>
  <c r="U111" i="13" s="1"/>
  <c r="U112" i="13" s="1"/>
  <c r="U113" i="13" s="1"/>
  <c r="U114" i="13" s="1"/>
  <c r="U115" i="13" s="1"/>
  <c r="U116" i="13" s="1"/>
  <c r="U117" i="13" s="1"/>
  <c r="U118" i="13" s="1"/>
  <c r="U119" i="13" s="1"/>
  <c r="U120" i="13" s="1"/>
  <c r="U121" i="13" s="1"/>
  <c r="U122" i="13" s="1"/>
  <c r="U123" i="13" s="1"/>
  <c r="U124" i="13" s="1"/>
  <c r="U125" i="13" s="1"/>
  <c r="U126" i="13" s="1"/>
  <c r="U127" i="13" s="1"/>
  <c r="U128" i="13" s="1"/>
  <c r="U129" i="13" s="1"/>
  <c r="U130" i="13" s="1"/>
  <c r="U131" i="13" s="1"/>
  <c r="U132" i="13" s="1"/>
  <c r="U133" i="13" s="1"/>
  <c r="U134" i="13" s="1"/>
  <c r="U135" i="13" s="1"/>
  <c r="U136" i="13" s="1"/>
  <c r="U137" i="13" s="1"/>
  <c r="U138" i="13" s="1"/>
  <c r="U139" i="13" s="1"/>
  <c r="U140" i="13" s="1"/>
  <c r="U141" i="13" s="1"/>
  <c r="U142" i="13" s="1"/>
  <c r="U143" i="13" s="1"/>
  <c r="U144" i="13" s="1"/>
  <c r="U145" i="13" s="1"/>
  <c r="U146" i="13" s="1"/>
  <c r="U147" i="13" s="1"/>
  <c r="U148" i="13" s="1"/>
  <c r="U149" i="13" s="1"/>
  <c r="U150" i="13" s="1"/>
  <c r="U151" i="13" s="1"/>
  <c r="U152" i="13" s="1"/>
  <c r="U153" i="13" s="1"/>
  <c r="U154" i="13" s="1"/>
  <c r="U155" i="13" s="1"/>
  <c r="U156" i="13" s="1"/>
  <c r="U157" i="13" s="1"/>
  <c r="U158" i="13" s="1"/>
  <c r="U159" i="13" s="1"/>
  <c r="U160" i="13" s="1"/>
  <c r="U161" i="13" s="1"/>
  <c r="U162" i="13" s="1"/>
  <c r="U163" i="13" s="1"/>
  <c r="U164" i="13" s="1"/>
  <c r="U165" i="13" s="1"/>
  <c r="U166" i="13" s="1"/>
  <c r="U167" i="13" s="1"/>
  <c r="U168" i="13" s="1"/>
  <c r="U169" i="13" s="1"/>
  <c r="U170" i="13" s="1"/>
  <c r="U171" i="13" s="1"/>
  <c r="U172" i="13" s="1"/>
  <c r="U173" i="13" s="1"/>
  <c r="U174" i="13" s="1"/>
  <c r="U175" i="13" s="1"/>
  <c r="U176" i="13" s="1"/>
  <c r="U177" i="13" s="1"/>
  <c r="U178" i="13" s="1"/>
  <c r="U179" i="13" s="1"/>
  <c r="U180" i="13" s="1"/>
  <c r="U181" i="13" s="1"/>
  <c r="U182" i="13" s="1"/>
  <c r="U183" i="13" s="1"/>
  <c r="U184" i="13" s="1"/>
  <c r="U185" i="13" s="1"/>
  <c r="U186" i="13" s="1"/>
  <c r="U187" i="13" s="1"/>
  <c r="U188" i="13" s="1"/>
  <c r="U189" i="13" s="1"/>
  <c r="U190" i="13" s="1"/>
  <c r="U191" i="13" s="1"/>
  <c r="U192" i="13" s="1"/>
  <c r="U193" i="13" s="1"/>
  <c r="U194" i="13" s="1"/>
  <c r="U195" i="13" s="1"/>
  <c r="U196" i="13" s="1"/>
  <c r="U197" i="13" s="1"/>
  <c r="U198" i="13" s="1"/>
  <c r="U199" i="13" s="1"/>
  <c r="U200" i="13" s="1"/>
  <c r="U201" i="13" s="1"/>
  <c r="U202" i="13" s="1"/>
  <c r="U203" i="13" s="1"/>
  <c r="U204" i="13" s="1"/>
  <c r="U205" i="13" s="1"/>
  <c r="U206" i="13" s="1"/>
  <c r="U207" i="13" s="1"/>
  <c r="U208" i="13" s="1"/>
  <c r="U209" i="13" s="1"/>
  <c r="U210" i="13" s="1"/>
  <c r="U211" i="13" s="1"/>
  <c r="U212" i="13" s="1"/>
  <c r="U213" i="13" s="1"/>
  <c r="Q218" i="13" l="1"/>
  <c r="B122" i="12" l="1"/>
  <c r="C13" i="2" l="1"/>
  <c r="H13" i="2"/>
  <c r="D13" i="2"/>
  <c r="C73" i="12"/>
  <c r="I68" i="12"/>
  <c r="J68" i="12" s="1"/>
  <c r="E68" i="12"/>
  <c r="I66" i="12"/>
  <c r="J66" i="12" s="1"/>
  <c r="E66" i="12"/>
  <c r="I64" i="12"/>
  <c r="J64" i="12" s="1"/>
  <c r="C64" i="12"/>
  <c r="E64" i="12" s="1"/>
  <c r="I60" i="12"/>
  <c r="J60" i="12" s="1"/>
  <c r="C60" i="12"/>
  <c r="J51" i="12"/>
  <c r="C46" i="12"/>
  <c r="I41" i="12"/>
  <c r="J41" i="12" s="1"/>
  <c r="E41" i="12"/>
  <c r="I39" i="12"/>
  <c r="J39" i="12" s="1"/>
  <c r="E39" i="12"/>
  <c r="I37" i="12"/>
  <c r="J37" i="12" s="1"/>
  <c r="C37" i="12"/>
  <c r="E37" i="12" s="1"/>
  <c r="I33" i="12"/>
  <c r="J33" i="12" s="1"/>
  <c r="C33" i="12"/>
  <c r="J24" i="12"/>
  <c r="J78" i="12" s="1"/>
  <c r="C19" i="12"/>
  <c r="K17" i="12" s="1"/>
  <c r="K14" i="12"/>
  <c r="I14" i="12"/>
  <c r="J14" i="12" s="1"/>
  <c r="E14" i="12"/>
  <c r="K12" i="12"/>
  <c r="I12" i="12"/>
  <c r="J12" i="12" s="1"/>
  <c r="E12" i="12"/>
  <c r="C10" i="12"/>
  <c r="E10" i="12" s="1"/>
  <c r="I8" i="12"/>
  <c r="J8" i="12" s="1"/>
  <c r="C6" i="12"/>
  <c r="I4" i="12"/>
  <c r="J4" i="12" s="1"/>
  <c r="C24" i="12" l="1"/>
  <c r="C77" i="12" s="1"/>
  <c r="C78" i="12" s="1"/>
  <c r="C50" i="12"/>
  <c r="C51" i="12" s="1"/>
  <c r="C25" i="12"/>
  <c r="K4" i="12"/>
  <c r="J15" i="12"/>
  <c r="J21" i="12" s="1"/>
  <c r="J42" i="12"/>
  <c r="J69" i="12"/>
  <c r="K8" i="12"/>
  <c r="E60" i="12"/>
  <c r="E69" i="12" s="1"/>
  <c r="E6" i="12"/>
  <c r="E15" i="12" s="1"/>
  <c r="E33" i="12"/>
  <c r="E42" i="12" s="1"/>
  <c r="M42" i="12" s="1"/>
  <c r="J74" i="12" l="1"/>
  <c r="E74" i="12"/>
  <c r="K69" i="12"/>
  <c r="M64" i="12" s="1"/>
  <c r="M66" i="12" s="1"/>
  <c r="E47" i="12"/>
  <c r="J47" i="12"/>
  <c r="E21" i="12"/>
  <c r="M15" i="12"/>
  <c r="M17" i="12" s="1"/>
  <c r="K15" i="12"/>
  <c r="K18" i="12" s="1"/>
  <c r="M44" i="12"/>
  <c r="K21" i="12"/>
  <c r="O64" i="12" l="1"/>
  <c r="O66" i="12" s="1"/>
  <c r="J75" i="12" s="1"/>
  <c r="J76" i="12" s="1"/>
  <c r="N64" i="12"/>
  <c r="N66" i="12" s="1"/>
  <c r="O42" i="12"/>
  <c r="O44" i="12" s="1"/>
  <c r="J48" i="12" s="1"/>
  <c r="J49" i="12" s="1"/>
  <c r="N42" i="12"/>
  <c r="N44" i="12" s="1"/>
  <c r="L4" i="12"/>
  <c r="L14" i="12"/>
  <c r="L12" i="12"/>
  <c r="L8" i="12"/>
  <c r="N17" i="12"/>
  <c r="E23" i="12" s="1"/>
  <c r="O17" i="12"/>
  <c r="J23" i="12" s="1"/>
  <c r="E75" i="12" l="1"/>
  <c r="E76" i="12" s="1"/>
  <c r="B76" i="12" s="1"/>
  <c r="P66" i="12"/>
  <c r="L15" i="12"/>
  <c r="E48" i="12"/>
  <c r="P44" i="12"/>
  <c r="P17" i="12"/>
  <c r="P18" i="12" s="1"/>
  <c r="K48" i="12"/>
  <c r="K46" i="12" l="1"/>
  <c r="E49" i="12"/>
  <c r="K22" i="12"/>
  <c r="L20" i="12" l="1"/>
  <c r="B23" i="12"/>
  <c r="B49" i="12"/>
  <c r="K47" i="12"/>
  <c r="T23" i="6"/>
  <c r="U20" i="6" s="1"/>
  <c r="T14" i="6"/>
  <c r="T13" i="6"/>
  <c r="T12" i="6"/>
  <c r="T11" i="6"/>
  <c r="T15" i="6" s="1"/>
  <c r="U14" i="6" s="1"/>
  <c r="D38" i="11"/>
  <c r="C38" i="11"/>
  <c r="E37" i="11"/>
  <c r="E36" i="11"/>
  <c r="E35" i="11"/>
  <c r="E34" i="11"/>
  <c r="I30" i="11" s="1"/>
  <c r="I32" i="11"/>
  <c r="E32" i="11"/>
  <c r="I31" i="11"/>
  <c r="E31" i="11"/>
  <c r="E30" i="11"/>
  <c r="I29" i="11"/>
  <c r="E29" i="11"/>
  <c r="I28" i="11"/>
  <c r="E28" i="11"/>
  <c r="I27" i="11"/>
  <c r="E27" i="11"/>
  <c r="I26" i="11"/>
  <c r="E26" i="11"/>
  <c r="E38" i="11" s="1"/>
  <c r="I25" i="11"/>
  <c r="E25" i="11"/>
  <c r="D19" i="11"/>
  <c r="K19" i="11" s="1"/>
  <c r="G18" i="11"/>
  <c r="F18" i="11"/>
  <c r="D18" i="11"/>
  <c r="K18" i="11" s="1"/>
  <c r="C18" i="11"/>
  <c r="I18" i="11" s="1"/>
  <c r="G17" i="11"/>
  <c r="F17" i="11"/>
  <c r="D17" i="11"/>
  <c r="K17" i="11" s="1"/>
  <c r="C17" i="11"/>
  <c r="I17" i="11" s="1"/>
  <c r="G16" i="11"/>
  <c r="F16" i="11"/>
  <c r="F20" i="11" s="1"/>
  <c r="C16" i="11"/>
  <c r="I16" i="11" s="1"/>
  <c r="G15" i="11"/>
  <c r="G20" i="11" s="1"/>
  <c r="F15" i="11"/>
  <c r="D15" i="11"/>
  <c r="K15" i="11" s="1"/>
  <c r="C15" i="11"/>
  <c r="I15" i="11" s="1"/>
  <c r="I20" i="11" s="1"/>
  <c r="G12" i="11"/>
  <c r="C12" i="11"/>
  <c r="E22" i="11" s="1"/>
  <c r="D9" i="11"/>
  <c r="D12" i="11" s="1"/>
  <c r="U19" i="6" l="1"/>
  <c r="U13" i="6"/>
  <c r="D16" i="11"/>
  <c r="D20" i="11" s="1"/>
  <c r="E21" i="11" s="1"/>
  <c r="U11" i="6"/>
  <c r="U21" i="6"/>
  <c r="U12" i="6"/>
  <c r="U18" i="6"/>
  <c r="U22" i="6"/>
  <c r="I33" i="11"/>
  <c r="C20" i="11"/>
  <c r="K16" i="11" l="1"/>
  <c r="K20" i="11" s="1"/>
  <c r="U15" i="6"/>
  <c r="U23" i="6"/>
  <c r="G22" i="6" l="1"/>
  <c r="G9" i="6"/>
  <c r="G7" i="6"/>
  <c r="U6" i="6"/>
  <c r="B8" i="6"/>
  <c r="G5" i="6"/>
  <c r="B10" i="6" l="1"/>
  <c r="G8" i="6"/>
  <c r="Y5" i="6"/>
  <c r="Y4" i="6"/>
  <c r="G6" i="6"/>
  <c r="Z5" i="6" l="1"/>
  <c r="Z4" i="6"/>
  <c r="B12" i="6"/>
  <c r="G10" i="6"/>
  <c r="Y3" i="6"/>
  <c r="Y6" i="6" l="1"/>
  <c r="Z3" i="6"/>
  <c r="G27" i="6"/>
  <c r="G21" i="6"/>
  <c r="G23" i="6" s="1"/>
  <c r="B17" i="6"/>
  <c r="E17" i="6" s="1"/>
  <c r="E30" i="6" s="1"/>
  <c r="G15" i="6"/>
  <c r="B21" i="6"/>
  <c r="B23" i="6" s="1"/>
  <c r="E23" i="6" s="1"/>
  <c r="G19" i="6"/>
  <c r="B15" i="6"/>
  <c r="G12" i="6"/>
  <c r="B27" i="6"/>
  <c r="E27" i="6" s="1"/>
  <c r="G25" i="6"/>
  <c r="B19" i="6"/>
  <c r="G17" i="6"/>
  <c r="B25" i="6"/>
  <c r="H27" i="6" l="1"/>
  <c r="T5" i="6"/>
  <c r="X5" i="6" s="1"/>
  <c r="H23" i="6"/>
  <c r="T4" i="6"/>
  <c r="X4" i="6" s="1"/>
  <c r="H17" i="6"/>
  <c r="H30" i="6" s="1"/>
  <c r="T3" i="6"/>
  <c r="X3" i="6" s="1"/>
  <c r="Z6" i="6"/>
  <c r="B29" i="6" l="1"/>
  <c r="G30" i="6" s="1"/>
  <c r="T6" i="6"/>
  <c r="X6" i="6" s="1"/>
</calcChain>
</file>

<file path=xl/comments1.xml><?xml version="1.0" encoding="utf-8"?>
<comments xmlns="http://schemas.openxmlformats.org/spreadsheetml/2006/main">
  <authors>
    <author>Judi Kennington-Korf</author>
  </authors>
  <commentList>
    <comment ref="K11" authorId="0">
      <text>
        <r>
          <rPr>
            <b/>
            <sz val="9"/>
            <color indexed="81"/>
            <rFont val="Tahoma"/>
            <family val="2"/>
          </rPr>
          <t>Judi Kennington-Korf:</t>
        </r>
        <r>
          <rPr>
            <sz val="9"/>
            <color indexed="81"/>
            <rFont val="Tahoma"/>
            <family val="2"/>
          </rPr>
          <t xml:space="preserve">
1/2 CDD staff= $90,478.  1/2 CDD phone=$300. 
BF GG is $10,328
</t>
        </r>
      </text>
    </comment>
    <comment ref="K17" authorId="0">
      <text>
        <r>
          <rPr>
            <b/>
            <sz val="9"/>
            <color indexed="81"/>
            <rFont val="Tahoma"/>
            <family val="2"/>
          </rPr>
          <t>Judi Kennington-Korf:</t>
        </r>
        <r>
          <rPr>
            <sz val="9"/>
            <color indexed="81"/>
            <rFont val="Tahoma"/>
            <family val="2"/>
          </rPr>
          <t xml:space="preserve">
Boat, motor, trailer</t>
        </r>
      </text>
    </comment>
    <comment ref="H18" authorId="0">
      <text>
        <r>
          <rPr>
            <b/>
            <sz val="9"/>
            <color indexed="81"/>
            <rFont val="Tahoma"/>
            <family val="2"/>
          </rPr>
          <t xml:space="preserve">Judi Kennington-Korf:  combined 360-0004
</t>
        </r>
      </text>
    </comment>
    <comment ref="C39" authorId="0">
      <text>
        <r>
          <rPr>
            <b/>
            <sz val="9"/>
            <color indexed="81"/>
            <rFont val="Tahoma"/>
            <family val="2"/>
          </rPr>
          <t>Judi Kennington-Korf:</t>
        </r>
        <r>
          <rPr>
            <sz val="9"/>
            <color indexed="81"/>
            <rFont val="Tahoma"/>
            <family val="2"/>
          </rPr>
          <t xml:space="preserve">
Computer:  $300/mo+ $450 travel=$4050; Web=$300; 
Storage=$300</t>
        </r>
      </text>
    </comment>
    <comment ref="D39" authorId="0">
      <text>
        <r>
          <rPr>
            <b/>
            <sz val="9"/>
            <color indexed="81"/>
            <rFont val="Tahoma"/>
            <family val="2"/>
          </rPr>
          <t>Judi Kennington-Korf:</t>
        </r>
        <r>
          <rPr>
            <sz val="9"/>
            <color indexed="81"/>
            <rFont val="Tahoma"/>
            <family val="2"/>
          </rPr>
          <t xml:space="preserve">
Computer:  $300/mo+ $450 travel=$4050; Web=$300; 
Storage=$300</t>
        </r>
      </text>
    </comment>
    <comment ref="C49" authorId="0">
      <text>
        <r>
          <rPr>
            <b/>
            <sz val="9"/>
            <color indexed="81"/>
            <rFont val="Tahoma"/>
            <family val="2"/>
          </rPr>
          <t>Judi Kennington-Korf:</t>
        </r>
        <r>
          <rPr>
            <sz val="9"/>
            <color indexed="81"/>
            <rFont val="Tahoma"/>
            <family val="2"/>
          </rPr>
          <t xml:space="preserve">
Copier x 2, cleaning, other</t>
        </r>
      </text>
    </comment>
    <comment ref="D49" authorId="0">
      <text>
        <r>
          <rPr>
            <b/>
            <sz val="9"/>
            <color indexed="81"/>
            <rFont val="Tahoma"/>
            <family val="2"/>
          </rPr>
          <t>Judi Kennington-Korf:</t>
        </r>
        <r>
          <rPr>
            <sz val="9"/>
            <color indexed="81"/>
            <rFont val="Tahoma"/>
            <family val="2"/>
          </rPr>
          <t xml:space="preserve">
Copier x 2, cleaning, other</t>
        </r>
      </text>
    </comment>
    <comment ref="H87" authorId="0">
      <text>
        <r>
          <rPr>
            <b/>
            <sz val="9"/>
            <color indexed="81"/>
            <rFont val="Tahoma"/>
            <family val="2"/>
          </rPr>
          <t>Judi Kennington-Korf:</t>
        </r>
        <r>
          <rPr>
            <sz val="9"/>
            <color indexed="81"/>
            <rFont val="Tahoma"/>
            <family val="2"/>
          </rPr>
          <t xml:space="preserve">
absorbed $1999.20 from 539-3110 and for IR &amp; DR proportionately
</t>
        </r>
      </text>
    </comment>
    <comment ref="K116" authorId="0">
      <text>
        <r>
          <rPr>
            <b/>
            <sz val="9"/>
            <color indexed="81"/>
            <rFont val="Tahoma"/>
            <family val="2"/>
          </rPr>
          <t>Judi Kennington-Korf:</t>
        </r>
        <r>
          <rPr>
            <sz val="9"/>
            <color indexed="81"/>
            <rFont val="Tahoma"/>
            <family val="2"/>
          </rPr>
          <t xml:space="preserve">
Fence</t>
        </r>
      </text>
    </comment>
    <comment ref="K120" authorId="0">
      <text>
        <r>
          <rPr>
            <b/>
            <sz val="9"/>
            <color indexed="81"/>
            <rFont val="Tahoma"/>
            <family val="2"/>
          </rPr>
          <t>Judi Kennington-Korf:</t>
        </r>
        <r>
          <rPr>
            <sz val="9"/>
            <color indexed="81"/>
            <rFont val="Tahoma"/>
            <family val="2"/>
          </rPr>
          <t xml:space="preserve">
SFWMD $26k</t>
        </r>
      </text>
    </comment>
  </commentList>
</comments>
</file>

<file path=xl/comments2.xml><?xml version="1.0" encoding="utf-8"?>
<comments xmlns="http://schemas.openxmlformats.org/spreadsheetml/2006/main">
  <authors>
    <author>Judi Kennington-Korf</author>
  </authors>
  <commentList>
    <comment ref="S26" authorId="0">
      <text>
        <r>
          <rPr>
            <b/>
            <sz val="9"/>
            <color indexed="81"/>
            <rFont val="Tahoma"/>
            <family val="2"/>
          </rPr>
          <t>Judi Kennington-Korf:</t>
        </r>
        <r>
          <rPr>
            <sz val="9"/>
            <color indexed="81"/>
            <rFont val="Tahoma"/>
            <family val="2"/>
          </rPr>
          <t xml:space="preserve">
1/2 CDD staff= $90,478.  1/2 CDD phone=$300. 
BF GG is $10,328
</t>
        </r>
      </text>
    </comment>
    <comment ref="S32" authorId="0">
      <text>
        <r>
          <rPr>
            <b/>
            <sz val="9"/>
            <color indexed="81"/>
            <rFont val="Tahoma"/>
            <family val="2"/>
          </rPr>
          <t>Judi Kennington-Korf:</t>
        </r>
        <r>
          <rPr>
            <sz val="9"/>
            <color indexed="81"/>
            <rFont val="Tahoma"/>
            <family val="2"/>
          </rPr>
          <t xml:space="preserve">
Boat, motor, trailer</t>
        </r>
      </text>
    </comment>
  </commentList>
</comments>
</file>

<file path=xl/sharedStrings.xml><?xml version="1.0" encoding="utf-8"?>
<sst xmlns="http://schemas.openxmlformats.org/spreadsheetml/2006/main" count="1542" uniqueCount="620">
  <si>
    <t>ACCOUNT</t>
  </si>
  <si>
    <t>Adopted</t>
  </si>
  <si>
    <t>Amended</t>
  </si>
  <si>
    <t>Proposed</t>
  </si>
  <si>
    <t>NUMBER</t>
  </si>
  <si>
    <t>2017-18</t>
  </si>
  <si>
    <t>2018-19</t>
  </si>
  <si>
    <t>REVENUES</t>
  </si>
  <si>
    <t>Taxes Current Year, Hendry County</t>
  </si>
  <si>
    <t>319-1000</t>
  </si>
  <si>
    <t>Taxes Current Year, Glades County</t>
  </si>
  <si>
    <t>319-2000</t>
  </si>
  <si>
    <t xml:space="preserve">Taxes Prior Year, Hendry County </t>
  </si>
  <si>
    <t>319-3000</t>
  </si>
  <si>
    <t>Taxes Prior Year, Glades County</t>
  </si>
  <si>
    <t>319-4000</t>
  </si>
  <si>
    <t>Sub-total Tax Revenue</t>
  </si>
  <si>
    <t>Joint Trust Contribution</t>
  </si>
  <si>
    <t>343-7000</t>
  </si>
  <si>
    <t>349-1000</t>
  </si>
  <si>
    <t>361-1001</t>
  </si>
  <si>
    <t>Interest - General Fund (Checking Account)</t>
  </si>
  <si>
    <t>361-1100</t>
  </si>
  <si>
    <t>Interest, Glades County Tax Collector</t>
  </si>
  <si>
    <t>361-3200</t>
  </si>
  <si>
    <t>Interest, Hendry County Tax Collector</t>
  </si>
  <si>
    <t>361-3210</t>
  </si>
  <si>
    <t>Rental Income (PLCDD, other)</t>
  </si>
  <si>
    <t>362-0000</t>
  </si>
  <si>
    <t>369-9000</t>
  </si>
  <si>
    <t>369-9100</t>
  </si>
  <si>
    <t>369-9200</t>
  </si>
  <si>
    <t>Penalties, Glades County Tax Collector</t>
  </si>
  <si>
    <t>Budgeted Carry Forward - Committed Unassigned</t>
  </si>
  <si>
    <t>389-9000</t>
  </si>
  <si>
    <t>Budgeted Carry Forward - Committed Emergency Assigned</t>
  </si>
  <si>
    <t>389-9300</t>
  </si>
  <si>
    <t>Sub-total Other Revenues Including Reserves:</t>
  </si>
  <si>
    <t>TOTAL REVENUE</t>
  </si>
  <si>
    <t>EXPENSES:  Administration</t>
  </si>
  <si>
    <t>Salaries, General Manager</t>
  </si>
  <si>
    <t>512-1200</t>
  </si>
  <si>
    <t xml:space="preserve">Salaries, Clerical </t>
  </si>
  <si>
    <t>513-1200</t>
  </si>
  <si>
    <t>Salaries, Clerical, Overtime</t>
  </si>
  <si>
    <t>513-1400</t>
  </si>
  <si>
    <t>FICA for Regular and Clerical OT (7.65%)</t>
  </si>
  <si>
    <t>513-2100</t>
  </si>
  <si>
    <t>513-2200</t>
  </si>
  <si>
    <t>Group Health Insurance</t>
  </si>
  <si>
    <t>513-2300</t>
  </si>
  <si>
    <t>Group Life Insurance - Admin ($142.21/year/employee)</t>
  </si>
  <si>
    <t>513-2301</t>
  </si>
  <si>
    <t>Workers Compensation (12%) (1/2 will be paid by PLCDD)</t>
  </si>
  <si>
    <t>513-2400</t>
  </si>
  <si>
    <t>Professional Services, Legal</t>
  </si>
  <si>
    <t>Professional Services, Computer/MIS</t>
  </si>
  <si>
    <t>513-3101</t>
  </si>
  <si>
    <t>Accounting &amp; Auditing, Bookkeeping</t>
  </si>
  <si>
    <t>513-3210</t>
  </si>
  <si>
    <t>Accounting &amp; Auditing, Audit</t>
  </si>
  <si>
    <t>513-3220</t>
  </si>
  <si>
    <t>Tax Collection Fees - Hendry County</t>
  </si>
  <si>
    <t>513-3410</t>
  </si>
  <si>
    <t>513-3420</t>
  </si>
  <si>
    <t>Travel &amp; Per Diem (Administration &amp; Field)</t>
  </si>
  <si>
    <t>513-4000</t>
  </si>
  <si>
    <t>Communication Services</t>
  </si>
  <si>
    <t>513-4100</t>
  </si>
  <si>
    <t>Freight &amp; Postage Services</t>
  </si>
  <si>
    <t>513-4200</t>
  </si>
  <si>
    <t>Utility Services</t>
  </si>
  <si>
    <t>513-4300</t>
  </si>
  <si>
    <t>Repair &amp; Maintenance Services, Computer</t>
  </si>
  <si>
    <t>513-4610</t>
  </si>
  <si>
    <t>Repair &amp; Maintenance Services, Other Office</t>
  </si>
  <si>
    <t>513-4620</t>
  </si>
  <si>
    <t>Other Current Charges &amp; Obligations</t>
  </si>
  <si>
    <t>513-4900</t>
  </si>
  <si>
    <t>Office Supplies</t>
  </si>
  <si>
    <t>513-5100</t>
  </si>
  <si>
    <t>Operating Supplies</t>
  </si>
  <si>
    <t>513-5200</t>
  </si>
  <si>
    <t>Books, Publications, Subscriptions, and Memberships</t>
  </si>
  <si>
    <t>513-5400</t>
  </si>
  <si>
    <t>TOTAL Administration Expenditures</t>
  </si>
  <si>
    <t>EXPENSES:  Field Operations</t>
  </si>
  <si>
    <t>537-4602</t>
  </si>
  <si>
    <t>Regular Salaries &amp; Wages, UR 51%</t>
  </si>
  <si>
    <t>539-1201</t>
  </si>
  <si>
    <t>Regular Salaries &amp; Wages, IR 43%</t>
  </si>
  <si>
    <t>539-1202</t>
  </si>
  <si>
    <t>Regular Salaries &amp; Wages, DR 6%</t>
  </si>
  <si>
    <t>539-1203</t>
  </si>
  <si>
    <t>539-1401</t>
  </si>
  <si>
    <t>Overtime Salaries &amp; Wages, IR 43%</t>
  </si>
  <si>
    <t>539-1402</t>
  </si>
  <si>
    <t>Overtime Salaries &amp; Wages, DR 6%</t>
  </si>
  <si>
    <t>539-1403</t>
  </si>
  <si>
    <t>FICA Taxes for Regular and OT, UR 51%</t>
  </si>
  <si>
    <t>539-2101</t>
  </si>
  <si>
    <t>FICA Taxes for Regular and OT, IR 43%</t>
  </si>
  <si>
    <t>539-2102</t>
  </si>
  <si>
    <t>FICA Taxes for Regular and OT, DR 6%</t>
  </si>
  <si>
    <t>539-2103</t>
  </si>
  <si>
    <t>539-2201</t>
  </si>
  <si>
    <t>539-2202</t>
  </si>
  <si>
    <t>539-2203</t>
  </si>
  <si>
    <t>Group Health Insurance, UR 51%</t>
  </si>
  <si>
    <t>539-2301</t>
  </si>
  <si>
    <t>Group Health Insurance, IR 43%</t>
  </si>
  <si>
    <t>539-2302</t>
  </si>
  <si>
    <t>Group Health Insurance, DR 6%</t>
  </si>
  <si>
    <t>539-2303</t>
  </si>
  <si>
    <t>Group Life Insurance, UR 51%</t>
  </si>
  <si>
    <t>539-2305</t>
  </si>
  <si>
    <t>Group Life Insurance, IR 43%</t>
  </si>
  <si>
    <t>539-2306</t>
  </si>
  <si>
    <t>Group Life Insurance, DR 6%</t>
  </si>
  <si>
    <t>539-2307</t>
  </si>
  <si>
    <t>Workers' Compensation, UR 51%</t>
  </si>
  <si>
    <t>539-2401</t>
  </si>
  <si>
    <t>Workers' Compensation, IR 43%</t>
  </si>
  <si>
    <t>539-2402</t>
  </si>
  <si>
    <t>Workers' Compensation, DR 6%</t>
  </si>
  <si>
    <t>539-2403</t>
  </si>
  <si>
    <t>Professional Service, Engineering, UR 51%</t>
  </si>
  <si>
    <t>539-3111</t>
  </si>
  <si>
    <t>Professional Service, Engineering, IR 43%</t>
  </si>
  <si>
    <t>539-3112</t>
  </si>
  <si>
    <t>Professional Service, Engineering, DR 6%</t>
  </si>
  <si>
    <t>539-3113</t>
  </si>
  <si>
    <t>Other Services, Canal Maintenance, UR 51%</t>
  </si>
  <si>
    <t>539-3411</t>
  </si>
  <si>
    <t>Other Services, Canal Maintenance - Internal, IR 43%</t>
  </si>
  <si>
    <t>539-3412</t>
  </si>
  <si>
    <t>Other Services, Canal Maintenance - Joint Trust, DR</t>
  </si>
  <si>
    <t>539-3423</t>
  </si>
  <si>
    <t>Other Services, WCS Repair &amp; Maintenance, UR 51%</t>
  </si>
  <si>
    <t>539-3451</t>
  </si>
  <si>
    <t>539-3452</t>
  </si>
  <si>
    <t>539-3463</t>
  </si>
  <si>
    <t>Travel &amp; Per Diem</t>
  </si>
  <si>
    <t>539-4000</t>
  </si>
  <si>
    <t>Communication Services, Cellular, UR 51%</t>
  </si>
  <si>
    <t>539-4101</t>
  </si>
  <si>
    <t>Communication Services, Cellular, IR 43%</t>
  </si>
  <si>
    <t>539-4102</t>
  </si>
  <si>
    <t>Communication Services, Cellular, DR 6%</t>
  </si>
  <si>
    <t>539-4103</t>
  </si>
  <si>
    <t>Utility Services, UR</t>
  </si>
  <si>
    <t>539-4301</t>
  </si>
  <si>
    <t>Rentals and leases, UR 51%</t>
  </si>
  <si>
    <t>539-4401</t>
  </si>
  <si>
    <t>Rentals and leases, IR 43%</t>
  </si>
  <si>
    <t>539-4402</t>
  </si>
  <si>
    <t>Rentals and leases, DR 6%</t>
  </si>
  <si>
    <t>539-4403</t>
  </si>
  <si>
    <t>Insurance, P&amp;C Liability (88%), UR 51%</t>
  </si>
  <si>
    <t>539-4501</t>
  </si>
  <si>
    <t>Insurance, P&amp;C Liability (88%), IR 43%</t>
  </si>
  <si>
    <t>539-4502</t>
  </si>
  <si>
    <t>Insurance, P&amp;C Liability (88%), DR 6%</t>
  </si>
  <si>
    <t>539-4503</t>
  </si>
  <si>
    <t>Repair &amp; Maintenance Services, UR 51%</t>
  </si>
  <si>
    <t>539-4601</t>
  </si>
  <si>
    <t>Repair &amp; Maintenance Services, IR 43%</t>
  </si>
  <si>
    <t>539-4602</t>
  </si>
  <si>
    <t>Repair &amp; Maintenance Services, DR 6%</t>
  </si>
  <si>
    <t>539-4603</t>
  </si>
  <si>
    <t>Operating Supplies, UR 51%</t>
  </si>
  <si>
    <t>539-5211</t>
  </si>
  <si>
    <t>Operating Supplies, IR 43%</t>
  </si>
  <si>
    <t>539-5212</t>
  </si>
  <si>
    <t>Operating Supplies, DR 6%</t>
  </si>
  <si>
    <t>539-5213</t>
  </si>
  <si>
    <t>Operating Supplies, Chemical, In-house, UR 51%</t>
  </si>
  <si>
    <t>539-5221</t>
  </si>
  <si>
    <t>Operating Supplies, Chemical, In-house, IR 43%</t>
  </si>
  <si>
    <t>539-5222</t>
  </si>
  <si>
    <t>Operating Supplies, Chemical, In-house, DR 6%</t>
  </si>
  <si>
    <t>539-5223</t>
  </si>
  <si>
    <t>TOTAL Field Operations</t>
  </si>
  <si>
    <t>Capital Outlay, Machinery &amp; Equipment</t>
  </si>
  <si>
    <t>539-6400.1</t>
  </si>
  <si>
    <t>Contingency</t>
  </si>
  <si>
    <t>580-0000</t>
  </si>
  <si>
    <t>Budgeted Carry Forward, Committed Emergency Assigned</t>
  </si>
  <si>
    <t>580-3000</t>
  </si>
  <si>
    <t>Budgeted Carry Forward- Committed Unassigned</t>
  </si>
  <si>
    <t>580-4000</t>
  </si>
  <si>
    <t>TOTAL Capital</t>
  </si>
  <si>
    <t>TOTAL EXPENDITURES</t>
  </si>
  <si>
    <t>Adopted Budget:</t>
  </si>
  <si>
    <t>DR    Drainage</t>
  </si>
  <si>
    <t>IR      Irrigation</t>
  </si>
  <si>
    <t>UR    Urban</t>
  </si>
  <si>
    <t>Urban Grove</t>
  </si>
  <si>
    <t xml:space="preserve"> </t>
  </si>
  <si>
    <t xml:space="preserve">* Note:  </t>
  </si>
  <si>
    <t>1.  $109,783 is in Liability Escrow (Hendry County C-1 Permit)</t>
  </si>
  <si>
    <t>2019-2020</t>
  </si>
  <si>
    <t>Contingency was increased in the event the District has to repay $26,656 to SFWMD for taxes paid in 2016; we</t>
  </si>
  <si>
    <t>were paid twice (tax certificates).  SFWMD said we would not have to pay the money but if it ends up in court,</t>
  </si>
  <si>
    <t>we need to be prepared.</t>
  </si>
  <si>
    <t>As of 3/31/2019</t>
  </si>
  <si>
    <t>Balance</t>
  </si>
  <si>
    <t>Fence = 1.5 miles x $9,000 per mile = $13,500</t>
  </si>
  <si>
    <t>364-0001</t>
  </si>
  <si>
    <t>537-4600</t>
  </si>
  <si>
    <t>Decrease from prior year:</t>
  </si>
  <si>
    <t>A</t>
  </si>
  <si>
    <t>B</t>
  </si>
  <si>
    <t>C</t>
  </si>
  <si>
    <t>Urban:</t>
  </si>
  <si>
    <t>Irrigation</t>
  </si>
  <si>
    <t>Total Expenditure Budget</t>
  </si>
  <si>
    <t>Drainage</t>
  </si>
  <si>
    <t>UrGrove</t>
  </si>
  <si>
    <t>Amount Needed from New Taxes</t>
  </si>
  <si>
    <t>Net</t>
  </si>
  <si>
    <t>÷ 95%</t>
  </si>
  <si>
    <t>Required 5% Reduction for bad debts</t>
  </si>
  <si>
    <t>Total Taxes Needed</t>
  </si>
  <si>
    <t>Urban</t>
  </si>
  <si>
    <t>x 0.51%</t>
  </si>
  <si>
    <t>Cost percentage assigned to Urban</t>
  </si>
  <si>
    <t>x 0.43%</t>
  </si>
  <si>
    <t>Cost percentage assigned to Irrigation</t>
  </si>
  <si>
    <t>Subtotal</t>
  </si>
  <si>
    <t>Electric Pumping</t>
  </si>
  <si>
    <t>x 0.06%</t>
  </si>
  <si>
    <t>Cost percentage assigned to Drainage</t>
  </si>
  <si>
    <t xml:space="preserve">Urban </t>
  </si>
  <si>
    <t>50% of Urban Value</t>
  </si>
  <si>
    <t>Grove</t>
  </si>
  <si>
    <t xml:space="preserve">Notes: </t>
  </si>
  <si>
    <t>The formula is complex and not equivalent to adding taxable values multiplied by acreage.</t>
  </si>
  <si>
    <t>A correlation does not exist between the formula used to create the tax levy and the budget.  The calculation used at the beginning of</t>
  </si>
  <si>
    <t xml:space="preserve"> the equation distorts the levy values with respect to equating values to the budget.</t>
  </si>
  <si>
    <t>Hendry County $109,783 escrow funds (to increase flows in C-1) were moved to a liability so they are no longer included in the</t>
  </si>
  <si>
    <t>calculation formula.</t>
  </si>
  <si>
    <t>When calculating different options, use the same base revenue rate (C6) and change the total expenditure budget; otherwise, the rates will be the same.</t>
  </si>
  <si>
    <t>RATES</t>
  </si>
  <si>
    <t>Catagories:</t>
  </si>
  <si>
    <t>Taxable</t>
  </si>
  <si>
    <t>Total Acres</t>
  </si>
  <si>
    <t>Categories:</t>
  </si>
  <si>
    <t>Taxable Acres</t>
  </si>
  <si>
    <t>BW</t>
  </si>
  <si>
    <t>Urban, not in CDD</t>
  </si>
  <si>
    <t>BI</t>
  </si>
  <si>
    <t>BD</t>
  </si>
  <si>
    <t>BWCD</t>
  </si>
  <si>
    <t>Irrigation, Global Ag</t>
  </si>
  <si>
    <t>BA</t>
  </si>
  <si>
    <t>ACREAGE:</t>
  </si>
  <si>
    <t>TOTAL</t>
  </si>
  <si>
    <t>Total</t>
  </si>
  <si>
    <t>TAXABLE</t>
  </si>
  <si>
    <t>ACRES</t>
  </si>
  <si>
    <t>Hendry</t>
  </si>
  <si>
    <t>Glades</t>
  </si>
  <si>
    <t>Irrigation:</t>
  </si>
  <si>
    <t>Drainage:</t>
  </si>
  <si>
    <t>Urban Grove:</t>
  </si>
  <si>
    <t>Public:</t>
  </si>
  <si>
    <t>Total ACRES in Glades &amp; Hendry Counties:</t>
  </si>
  <si>
    <t>Total VOTES in Glades &amp; Hendry Counties:</t>
  </si>
  <si>
    <t>PER-ACRE UNIT VOTE:</t>
  </si>
  <si>
    <t>TOTAL :</t>
  </si>
  <si>
    <t>Major Landowners:</t>
  </si>
  <si>
    <t>Qualified</t>
  </si>
  <si>
    <t xml:space="preserve">Qualified </t>
  </si>
  <si>
    <t>LargeLandowners, TOTAL:</t>
  </si>
  <si>
    <t>Black Boar</t>
  </si>
  <si>
    <t>Global Ag</t>
  </si>
  <si>
    <t>Hobby</t>
  </si>
  <si>
    <t>Hobby, Duane</t>
  </si>
  <si>
    <t>HUPA</t>
  </si>
  <si>
    <t>RLF Seminole</t>
  </si>
  <si>
    <t>SFWMD</t>
  </si>
  <si>
    <t>Weekly</t>
  </si>
  <si>
    <t>Weekley Seven-Thousand</t>
  </si>
  <si>
    <t>Resources:  Glades County Property Appraiser, Hendry County Property Appraiser</t>
  </si>
  <si>
    <t>2009-2010</t>
  </si>
  <si>
    <t>2010-2011</t>
  </si>
  <si>
    <t>2011-2012</t>
  </si>
  <si>
    <t>2012-2013</t>
  </si>
  <si>
    <t>2013-2014</t>
  </si>
  <si>
    <t>2014-15</t>
  </si>
  <si>
    <t>2015-16</t>
  </si>
  <si>
    <t>2016-17</t>
  </si>
  <si>
    <t>Tax Rates</t>
  </si>
  <si>
    <t>2019-20</t>
  </si>
  <si>
    <t xml:space="preserve">Total Field Staff Personnel </t>
  </si>
  <si>
    <t>Sale of Fixed Asset.  Andy has, we do not have</t>
  </si>
  <si>
    <t>in 6 months</t>
  </si>
  <si>
    <t>Spent</t>
  </si>
  <si>
    <t>Remaining</t>
  </si>
  <si>
    <t>Retirement (20.75% UM; 8.47% HA/PA)</t>
  </si>
  <si>
    <t>SUMMARY:  January 23, 2019 BWCD Annual Landowners Meeting</t>
  </si>
  <si>
    <t>Hendry County, 1/8/2019</t>
  </si>
  <si>
    <t>Glades County, 1/9/2019</t>
  </si>
  <si>
    <t>1/23/2019 Landowners Meeting</t>
  </si>
  <si>
    <t>Fersuson-House Farms, LLC</t>
  </si>
  <si>
    <t>HKH Partnership</t>
  </si>
  <si>
    <t>House</t>
  </si>
  <si>
    <t>House, Dwayne A &amp; DAH TR</t>
  </si>
  <si>
    <t>Lone Ranger</t>
  </si>
  <si>
    <t>Port LaBelle Marina, LLC</t>
  </si>
  <si>
    <t>XIA</t>
  </si>
  <si>
    <t>Although the budgets were higher in many of the years, the tax rates were lower because the Board had the option of using reserves to offset taxes.</t>
  </si>
  <si>
    <t>Those reserves have been depleted.</t>
  </si>
  <si>
    <t>Other forms of non-recurring revenue:  In years past, FDOT paid for ROW.  The District also sold dirt.</t>
  </si>
  <si>
    <t>÷ acres</t>
  </si>
  <si>
    <t>Taxable acres:</t>
  </si>
  <si>
    <t>Total acres:</t>
  </si>
  <si>
    <t>UR</t>
  </si>
  <si>
    <t>IR</t>
  </si>
  <si>
    <t>DR</t>
  </si>
  <si>
    <t>UGR</t>
  </si>
  <si>
    <t>Public</t>
  </si>
  <si>
    <t>The amount of time and resources spent are used in the caluclation for assigning cost percentages, not acreage.</t>
  </si>
  <si>
    <t>BWCD 2019-20 Budget, Proposed</t>
  </si>
  <si>
    <t>The acreage was confirmed during the January, 2019 Annual Landowners meeting.</t>
  </si>
  <si>
    <t>Use BWCD acreage certified for the Annual Landowners meeting to calculate taxes for Glades and Hendry</t>
  </si>
  <si>
    <t>BWCD Charter identifies a total of 31,847 acres.  Currently, 26,636.37 acres are taxable with a total of 30,320.27 (-1,526.73, land sale FDOT, etc.) acres.</t>
  </si>
  <si>
    <t>Taxable Totals</t>
  </si>
  <si>
    <t>Acres</t>
  </si>
  <si>
    <t>Rate</t>
  </si>
  <si>
    <t>Acres:</t>
  </si>
  <si>
    <t>By Acreage %</t>
  </si>
  <si>
    <t>URBAN</t>
  </si>
  <si>
    <t>IRRIGATION</t>
  </si>
  <si>
    <t>IRRIGATION-GlobalAg</t>
  </si>
  <si>
    <t>DRAINAGE</t>
  </si>
  <si>
    <t>URBAN-GROVE</t>
  </si>
  <si>
    <t>From Taxes</t>
  </si>
  <si>
    <t xml:space="preserve">Needed </t>
  </si>
  <si>
    <t>Total Taxable Acres, Hendry</t>
  </si>
  <si>
    <t>Total Taxable Acres, Glades</t>
  </si>
  <si>
    <t>Total Taxable Acres in BWCD:</t>
  </si>
  <si>
    <t>Public lands other than BWCD are unaccounted.</t>
  </si>
  <si>
    <t>Need:</t>
  </si>
  <si>
    <t>2018-19 Option D,</t>
  </si>
  <si>
    <t>Interest - General Fund Investments (2 CD Accounts)</t>
  </si>
  <si>
    <t>514-3100</t>
  </si>
  <si>
    <t>FRS Retirement Contribution, UR 51% (8.47%)</t>
  </si>
  <si>
    <t>FRS Retirement Contribution, IR 43% (8.47%)</t>
  </si>
  <si>
    <t>FRS Retirement Contribution, DR 6% (8.47%)</t>
  </si>
  <si>
    <t>Other improvements</t>
  </si>
  <si>
    <t>539-6300</t>
  </si>
  <si>
    <t>ISF</t>
  </si>
  <si>
    <t>BF</t>
  </si>
  <si>
    <t>BWCD 22%</t>
  </si>
  <si>
    <t>Replumb:</t>
  </si>
  <si>
    <t>BWCD:</t>
  </si>
  <si>
    <t xml:space="preserve">Recalibration:  </t>
  </si>
  <si>
    <t xml:space="preserve">Pump replumb = $46,500 per pump; recalibration $525 per pump.  </t>
  </si>
  <si>
    <t>Recalibration:  ISF 7 x $525.  Barron Farm 4 X $525</t>
  </si>
  <si>
    <t xml:space="preserve">BWCD portion of expenses for </t>
  </si>
  <si>
    <t>replumb &amp; recalibrations:</t>
  </si>
  <si>
    <t>Surplus property potential:  Geo truck, BW-38 (go devil motor, boat, trailer)</t>
  </si>
  <si>
    <t>Intergovernmental Revenue (PLCDD, BF-GGWCD)</t>
  </si>
  <si>
    <t>519-3400</t>
  </si>
  <si>
    <t>Other Miscellaneous Income</t>
  </si>
  <si>
    <t>369-9002</t>
  </si>
  <si>
    <t>Pump Repair, Supplies, ISF (BWCD 22%)</t>
  </si>
  <si>
    <t>537-4304</t>
  </si>
  <si>
    <t>537-4302</t>
  </si>
  <si>
    <t>Pump Repair, IR Barron Farm</t>
  </si>
  <si>
    <t>Admin Expenses (before PLCDD deduction)</t>
  </si>
  <si>
    <t>Overtime Salaries &amp; Wages, UR 51%</t>
  </si>
  <si>
    <t xml:space="preserve">Acres confirmed during January, 2019 Annual Meeting </t>
  </si>
  <si>
    <t>ISF ElectricalExp (ISF537-4304)</t>
  </si>
  <si>
    <t>Type</t>
  </si>
  <si>
    <t>Date</t>
  </si>
  <si>
    <t>Num</t>
  </si>
  <si>
    <t>Name</t>
  </si>
  <si>
    <t>Memo</t>
  </si>
  <si>
    <t>Clr</t>
  </si>
  <si>
    <t>Split</t>
  </si>
  <si>
    <t>Amount</t>
  </si>
  <si>
    <t>5374304 · ELECTRIC SERVICE</t>
  </si>
  <si>
    <t>General Journal</t>
  </si>
  <si>
    <t>201309 FYE1</t>
  </si>
  <si>
    <t>DISTRIBUTE ISF 09/30/13 FISCAL YE</t>
  </si>
  <si>
    <t>3437104 · CONTRIBUTIONS CS ISF</t>
  </si>
  <si>
    <t>Check</t>
  </si>
  <si>
    <t>3028</t>
  </si>
  <si>
    <t>GLADES ELECTRIC COOPERATIVE, INC</t>
  </si>
  <si>
    <t>238003 10/31/13</t>
  </si>
  <si>
    <t>1014004 · FCB #1559073900</t>
  </si>
  <si>
    <t>238004 10/31/13</t>
  </si>
  <si>
    <t>238007 10/31/13</t>
  </si>
  <si>
    <t>Bill</t>
  </si>
  <si>
    <t>Stmt</t>
  </si>
  <si>
    <t>1311004 · DUE TO GENERAL FUND</t>
  </si>
  <si>
    <t>3032</t>
  </si>
  <si>
    <t>238003 12/13/13</t>
  </si>
  <si>
    <t>238004 12/13/13</t>
  </si>
  <si>
    <t>238007 12/13/13</t>
  </si>
  <si>
    <t>3034</t>
  </si>
  <si>
    <t>stmt 1/13/14</t>
  </si>
  <si>
    <t>Stmt 02/12/14</t>
  </si>
  <si>
    <t>238003</t>
  </si>
  <si>
    <t>238004</t>
  </si>
  <si>
    <t>238007</t>
  </si>
  <si>
    <t>STMT 3/13/14</t>
  </si>
  <si>
    <t>Stmt 4/30/14</t>
  </si>
  <si>
    <t>3045</t>
  </si>
  <si>
    <t>238003 stmt 5/8/14</t>
  </si>
  <si>
    <t>Stmt 6/11/14</t>
  </si>
  <si>
    <t>Stmt 8/07/14 &amp; 7/10</t>
  </si>
  <si>
    <t>Stmt 9/11/14</t>
  </si>
  <si>
    <t>2020004 · VOUCHERS PAYABLE</t>
  </si>
  <si>
    <t>Stmt 10/2014</t>
  </si>
  <si>
    <t>Credit</t>
  </si>
  <si>
    <t>10/14 Overpayment</t>
  </si>
  <si>
    <t>Stmt 11/10/14</t>
  </si>
  <si>
    <t>Stmt 12/10/14</t>
  </si>
  <si>
    <t>Stmt 1/8/15</t>
  </si>
  <si>
    <t>Stmt 02/10/15</t>
  </si>
  <si>
    <t>STMT 03/11/15</t>
  </si>
  <si>
    <t>STMT 04/10/15</t>
  </si>
  <si>
    <t>STMT 05/13/15</t>
  </si>
  <si>
    <t>3064</t>
  </si>
  <si>
    <t>STMT 7/20/15</t>
  </si>
  <si>
    <t>STMT 08/19/15</t>
  </si>
  <si>
    <t>STMT 09/17/15</t>
  </si>
  <si>
    <t>AUDIT 1</t>
  </si>
  <si>
    <t>TO REMOVE NET INCOME</t>
  </si>
  <si>
    <t>STMT 10/18/15</t>
  </si>
  <si>
    <t>Bill 11/16/15</t>
  </si>
  <si>
    <t>12/21/15</t>
  </si>
  <si>
    <t>238003 01/16</t>
  </si>
  <si>
    <t>238004 01/16</t>
  </si>
  <si>
    <t>238007 01/16</t>
  </si>
  <si>
    <t>238003 02/16</t>
  </si>
  <si>
    <t>238004 02/16</t>
  </si>
  <si>
    <t>238007 02/16</t>
  </si>
  <si>
    <t>238003 3/16</t>
  </si>
  <si>
    <t>238004 03/16</t>
  </si>
  <si>
    <t>238007 03/16</t>
  </si>
  <si>
    <t>238003 04/16</t>
  </si>
  <si>
    <t>238004 04/16</t>
  </si>
  <si>
    <t>238007 04/16</t>
  </si>
  <si>
    <t>238003 05/16</t>
  </si>
  <si>
    <t>238004 05/16</t>
  </si>
  <si>
    <t>238007 05/16</t>
  </si>
  <si>
    <t>238003 06/2016</t>
  </si>
  <si>
    <t>238004 06/16</t>
  </si>
  <si>
    <t>238007 06/16</t>
  </si>
  <si>
    <t>238003 07/16</t>
  </si>
  <si>
    <t>238004 07/16</t>
  </si>
  <si>
    <t>238007 07/16</t>
  </si>
  <si>
    <t>238003 08/16</t>
  </si>
  <si>
    <t>238004 08/16</t>
  </si>
  <si>
    <t>238007 08/16</t>
  </si>
  <si>
    <t>238003 09/16</t>
  </si>
  <si>
    <t>238004 09/16</t>
  </si>
  <si>
    <t>238007 09/16</t>
  </si>
  <si>
    <t>AUDIT 2R</t>
  </si>
  <si>
    <t>A/Pay Adjust</t>
  </si>
  <si>
    <t>to reclass accounts</t>
  </si>
  <si>
    <t>238003 10/16</t>
  </si>
  <si>
    <t>238004 10/16</t>
  </si>
  <si>
    <t>238007 10/16</t>
  </si>
  <si>
    <t>238003 11/16</t>
  </si>
  <si>
    <t>238004 11/16</t>
  </si>
  <si>
    <t>238007 11/16</t>
  </si>
  <si>
    <t>238003 12/16</t>
  </si>
  <si>
    <t>238004 12/16</t>
  </si>
  <si>
    <t>238007 12/16</t>
  </si>
  <si>
    <t>238003 01/17</t>
  </si>
  <si>
    <t>238004 01/17</t>
  </si>
  <si>
    <t>238007 01/17</t>
  </si>
  <si>
    <t>238003 02/17</t>
  </si>
  <si>
    <t>238004 02/17</t>
  </si>
  <si>
    <t>238007 02/17</t>
  </si>
  <si>
    <t>238003 03/17</t>
  </si>
  <si>
    <t>238004 03/17</t>
  </si>
  <si>
    <t>238007 03/17</t>
  </si>
  <si>
    <t>238803 04/17</t>
  </si>
  <si>
    <t>238004 04/17</t>
  </si>
  <si>
    <t>238007 04/19</t>
  </si>
  <si>
    <t>238003 05/17</t>
  </si>
  <si>
    <t>238004 05/17</t>
  </si>
  <si>
    <t>238007 05/17</t>
  </si>
  <si>
    <t>238003 06/17</t>
  </si>
  <si>
    <t>238004 6/17</t>
  </si>
  <si>
    <t>238007 6/17</t>
  </si>
  <si>
    <t>238803 07/17</t>
  </si>
  <si>
    <t>238004 07/17</t>
  </si>
  <si>
    <t>238007 07/17</t>
  </si>
  <si>
    <t>238003 08/17</t>
  </si>
  <si>
    <t>238007 08/17</t>
  </si>
  <si>
    <t>238003 09/17</t>
  </si>
  <si>
    <t>238004 09/17</t>
  </si>
  <si>
    <t>238007 09/17</t>
  </si>
  <si>
    <t>RECLASS 01</t>
  </si>
  <si>
    <t>TO REMOVE OLD AUDIT ADJ</t>
  </si>
  <si>
    <t>RECLASS 02</t>
  </si>
  <si>
    <t>Void</t>
  </si>
  <si>
    <t>238003 10/17</t>
  </si>
  <si>
    <t>238004 10/17</t>
  </si>
  <si>
    <t>238007 10/17</t>
  </si>
  <si>
    <t>238003 11/17</t>
  </si>
  <si>
    <t>238004 11/17</t>
  </si>
  <si>
    <t>238007 11/17</t>
  </si>
  <si>
    <t>238003 12/17</t>
  </si>
  <si>
    <t>238004 12/17</t>
  </si>
  <si>
    <t>238007 12/17</t>
  </si>
  <si>
    <t>238003 01/18</t>
  </si>
  <si>
    <t>238004 01/18</t>
  </si>
  <si>
    <t>238007 01/18</t>
  </si>
  <si>
    <t>238003 02/18</t>
  </si>
  <si>
    <t>238004 02/18</t>
  </si>
  <si>
    <t>238007 02/18</t>
  </si>
  <si>
    <t>238003 03/18</t>
  </si>
  <si>
    <t>238004 03/18</t>
  </si>
  <si>
    <t>238007 03/18</t>
  </si>
  <si>
    <t>238003 04/18</t>
  </si>
  <si>
    <t>238004 04/18</t>
  </si>
  <si>
    <t>238007 04/18</t>
  </si>
  <si>
    <t>238007 05/18</t>
  </si>
  <si>
    <t>238003 05/18</t>
  </si>
  <si>
    <t>238004 05/18</t>
  </si>
  <si>
    <t>238003 06/18</t>
  </si>
  <si>
    <t>238004 06/18</t>
  </si>
  <si>
    <t>238007 06/18</t>
  </si>
  <si>
    <t>238003 07/18</t>
  </si>
  <si>
    <t>238004 07/18</t>
  </si>
  <si>
    <t>238007 07/18</t>
  </si>
  <si>
    <t>238003 08/18</t>
  </si>
  <si>
    <t>238004 08/18</t>
  </si>
  <si>
    <t>238007 08/18</t>
  </si>
  <si>
    <t>238003 09/18</t>
  </si>
  <si>
    <t>238004 09/18</t>
  </si>
  <si>
    <t>238003 10/18</t>
  </si>
  <si>
    <t>238004 10/18</t>
  </si>
  <si>
    <t>238007 10/18</t>
  </si>
  <si>
    <t>238003 11/18</t>
  </si>
  <si>
    <t>238004 11/18</t>
  </si>
  <si>
    <t>238007 12/18</t>
  </si>
  <si>
    <t>238003 12/18</t>
  </si>
  <si>
    <t>238004 12/18</t>
  </si>
  <si>
    <t>238003 01/19</t>
  </si>
  <si>
    <t>238004 01/19</t>
  </si>
  <si>
    <t>238007 01/19</t>
  </si>
  <si>
    <t>238003 02/19</t>
  </si>
  <si>
    <t>238004 02/19</t>
  </si>
  <si>
    <t>238007 02/19</t>
  </si>
  <si>
    <t>238003 03/19</t>
  </si>
  <si>
    <t>238004 03/19</t>
  </si>
  <si>
    <t>238007 03/19</t>
  </si>
  <si>
    <t>238003 04/19</t>
  </si>
  <si>
    <t>238004 04/19</t>
  </si>
  <si>
    <t>Total 5374304 · ELECTRIC SERVICE</t>
  </si>
  <si>
    <t>Average monthly, 67 months (5 years &amp; 7 months)</t>
  </si>
  <si>
    <t>Annual</t>
  </si>
  <si>
    <t xml:space="preserve">Use for tax calculation </t>
  </si>
  <si>
    <t>Other Revenues</t>
  </si>
  <si>
    <t>removed sfwmd</t>
  </si>
  <si>
    <t>19-20</t>
  </si>
  <si>
    <r>
      <t>Prior Year Taxes</t>
    </r>
    <r>
      <rPr>
        <sz val="8"/>
        <rFont val="Arial"/>
        <family val="2"/>
      </rPr>
      <t xml:space="preserve"> [319-3000,4000]</t>
    </r>
  </si>
  <si>
    <t>2.  Amended budget follows audit presentation, Resolution 2019-1, 3/27/2019</t>
  </si>
  <si>
    <t>after formula, needed in taxes</t>
  </si>
  <si>
    <t>before formula needed for taxes.  Used in budget</t>
  </si>
  <si>
    <t>Total Taxes</t>
  </si>
  <si>
    <t>2019-20 Option C, $10k Contingency, no capital</t>
  </si>
  <si>
    <t>The formula is complex and not equivalent to multiplying taxable values by acreage.</t>
  </si>
  <si>
    <t>GECO, 4% increase</t>
  </si>
  <si>
    <t>537-4304 · ELECTRIC SERVICE</t>
  </si>
  <si>
    <r>
      <t xml:space="preserve">Other Misc. Revenue (SFWMD, see 519-3400) </t>
    </r>
    <r>
      <rPr>
        <b/>
        <u/>
        <sz val="10"/>
        <rFont val="Arial"/>
        <family val="2"/>
      </rPr>
      <t>NEW</t>
    </r>
  </si>
  <si>
    <t>Labor from ISF to GF (4% Adm Fee)</t>
  </si>
  <si>
    <t xml:space="preserve">Tax Collection Fees - Glades County </t>
  </si>
  <si>
    <r>
      <t xml:space="preserve">Other General Government Services (SFWMD, 369-9002) </t>
    </r>
    <r>
      <rPr>
        <b/>
        <u/>
        <sz val="10"/>
        <rFont val="Arial"/>
        <family val="2"/>
      </rPr>
      <t>NEW</t>
    </r>
  </si>
  <si>
    <t>Electric Service, Pumping, ISF (3 GECO, BWCD 22%)</t>
  </si>
  <si>
    <t>Electric Service, Pumping, IR Barron Farm, 2 GECO)</t>
  </si>
  <si>
    <t>Other Services, WCS Repair &amp; Maintenance - Internal, IR 43%</t>
  </si>
  <si>
    <t>Other Services, WCS Repair &amp; Maintenance - Joint Trust, DR</t>
  </si>
  <si>
    <r>
      <t>Create anticipated expenses and anticipated revenues on the</t>
    </r>
    <r>
      <rPr>
        <u/>
        <sz val="12"/>
        <color theme="1"/>
        <rFont val="Arial"/>
        <family val="2"/>
      </rPr>
      <t xml:space="preserve"> budget</t>
    </r>
    <r>
      <rPr>
        <sz val="12"/>
        <color theme="1"/>
        <rFont val="Arial"/>
        <family val="2"/>
      </rPr>
      <t>.</t>
    </r>
  </si>
  <si>
    <r>
      <t xml:space="preserve">Use tax rate levy assessments to create </t>
    </r>
    <r>
      <rPr>
        <u/>
        <sz val="12"/>
        <color theme="1"/>
        <rFont val="Arial"/>
        <family val="2"/>
      </rPr>
      <t>county taxes</t>
    </r>
    <r>
      <rPr>
        <sz val="12"/>
        <color theme="1"/>
        <rFont val="Arial"/>
        <family val="2"/>
      </rPr>
      <t>, Tax Calc #3.</t>
    </r>
  </si>
  <si>
    <t xml:space="preserve">A correlation does not exist between the formula used to create the tax levy and the budget.  (The calculation used at the beginning of the equation </t>
  </si>
  <si>
    <t>distorts the levy values with respect to equating values to the budget.)</t>
  </si>
  <si>
    <t>The ISF electrical account [537-4304] is subtracted from the formula b/c it has its own fund.  (Electric service is 22% of 3 ISF GECO electrical bills.)</t>
  </si>
  <si>
    <t>rates will be the same.</t>
  </si>
  <si>
    <t xml:space="preserve">When calculating different options, use the same base revenue rate (TaxCalc#1, B6) and change the total expenditure budget; otherwise, the </t>
  </si>
  <si>
    <r>
      <t>BWCD Charter identifies a total of 31,847 acres.  Currently, 26,676.37 acres are taxable with a total of 30,360.27 acres (</t>
    </r>
    <r>
      <rPr>
        <sz val="10"/>
        <rFont val="Arial"/>
        <family val="2"/>
      </rPr>
      <t>-1,486.73, land sale FDOT, etc.</t>
    </r>
    <r>
      <rPr>
        <sz val="10.5"/>
        <rFont val="Arial"/>
        <family val="2"/>
      </rPr>
      <t>).</t>
    </r>
  </si>
  <si>
    <t>These funds are owned by Hendry County BOCC, not BWCD.</t>
  </si>
  <si>
    <t xml:space="preserve">Hendry County $109,783 escrow funds (to increase flows in C-1) were moved to a liability so they are no longer included in the calculation formula.  </t>
  </si>
  <si>
    <r>
      <t xml:space="preserve">Plug expense into TaxCalc#1 (Tax Rate Calculation) &amp; TaxCalc#2 (ISF deduction) worksheet to create </t>
    </r>
    <r>
      <rPr>
        <u/>
        <sz val="12"/>
        <color theme="1"/>
        <rFont val="Arial"/>
        <family val="2"/>
      </rPr>
      <t>tax rate levy assessments</t>
    </r>
    <r>
      <rPr>
        <sz val="12"/>
        <color theme="1"/>
        <rFont val="Arial"/>
        <family val="2"/>
      </rPr>
      <t>.</t>
    </r>
  </si>
  <si>
    <r>
      <t>Complete</t>
    </r>
    <r>
      <rPr>
        <u/>
        <sz val="12"/>
        <color theme="1"/>
        <rFont val="Arial"/>
        <family val="2"/>
      </rPr>
      <t xml:space="preserve"> budget</t>
    </r>
    <r>
      <rPr>
        <sz val="12"/>
        <color theme="1"/>
        <rFont val="Arial"/>
        <family val="2"/>
      </rPr>
      <t xml:space="preserve">.  </t>
    </r>
  </si>
  <si>
    <t xml:space="preserve">The ISF electrical account [537-4302] should be subtracted from the formula b/c it has its own fund. </t>
  </si>
  <si>
    <t xml:space="preserve">Electric service is 22% of 3 ISF electrical bills.  Also included is the 22% for ISF expenses </t>
  </si>
  <si>
    <t>(TaxCalc2)</t>
  </si>
  <si>
    <t>Recd/Spent</t>
  </si>
  <si>
    <t>Option D:  REVISED</t>
  </si>
  <si>
    <t>Option E, $50k less CCF</t>
  </si>
  <si>
    <t>x0.51%</t>
  </si>
  <si>
    <t>$10k capital; $20 contingency</t>
  </si>
  <si>
    <t>less original CCF</t>
  </si>
  <si>
    <t>$0 capital; $20K contingency</t>
  </si>
  <si>
    <t>Option D, $100K less</t>
  </si>
  <si>
    <t>2019-20 Option D, $20k contingency, $10 capital, $100k less original CCF</t>
  </si>
  <si>
    <t>Added to Glades Taxes:</t>
  </si>
  <si>
    <t>2019-20 Option E, $20k contingency, no capital</t>
  </si>
  <si>
    <t>Option</t>
  </si>
  <si>
    <t>Cash Carry Forward, Unassigned</t>
  </si>
  <si>
    <t>Revenue</t>
  </si>
  <si>
    <t>Capital</t>
  </si>
  <si>
    <t>Total Budget</t>
  </si>
  <si>
    <t>Tax Rate Levy Assessments</t>
  </si>
  <si>
    <t>D</t>
  </si>
  <si>
    <t>E</t>
  </si>
  <si>
    <t>8/28/2019 Board meeting:</t>
  </si>
  <si>
    <t>5/29/2019 Board meeting:</t>
  </si>
  <si>
    <t>During the May 29th meeting, the Board adopted Option C with an understanding staff would provide other options with reduced tax rate levy assessments.  To that end, Options D &amp; E were created.  As a reminder, the budget may be reduced but not increased without heroic efforts.  The major differences in the options are as follows: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</si>
</sst>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&quot;$&quot;#,##0.00"/>
    <numFmt numFmtId="165" formatCode="0.0"/>
    <numFmt numFmtId="166" formatCode="&quot;$&quot;#,##0"/>
    <numFmt numFmtId="167" formatCode="#,##0.000"/>
    <numFmt numFmtId="168" formatCode="0.0000"/>
    <numFmt numFmtId="169" formatCode="#,##0.0000"/>
    <numFmt numFmtId="170" formatCode="0.0000%"/>
    <numFmt numFmtId="171" formatCode="0.000%"/>
    <numFmt numFmtId="172" formatCode="mm/dd/yyyy"/>
    <numFmt numFmtId="173" formatCode="#,##0.00;\-#,##0.00"/>
    <numFmt numFmtId="174" formatCode="[$-409]mmmm\ d\,\ yyyy;@"/>
  </numFmts>
  <fonts count="40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rgb="FF000000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FF0000"/>
      <name val="Arial"/>
      <family val="2"/>
    </font>
    <font>
      <u/>
      <sz val="11"/>
      <color theme="1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9"/>
      <name val="Arial"/>
      <family val="2"/>
    </font>
    <font>
      <u/>
      <sz val="9"/>
      <color theme="1"/>
      <name val="Arial"/>
      <family val="2"/>
    </font>
    <font>
      <b/>
      <sz val="9"/>
      <name val="Arial"/>
      <family val="2"/>
    </font>
    <font>
      <sz val="9"/>
      <color rgb="FF00B050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8"/>
      <name val="Arial"/>
      <family val="2"/>
    </font>
    <font>
      <b/>
      <sz val="8"/>
      <color rgb="FF000000"/>
      <name val="Arial"/>
      <family val="2"/>
    </font>
    <font>
      <sz val="11"/>
      <name val="Calibri"/>
      <family val="2"/>
      <scheme val="minor"/>
    </font>
    <font>
      <sz val="9"/>
      <name val="Calibri"/>
      <family val="2"/>
    </font>
    <font>
      <u/>
      <sz val="10"/>
      <name val="Arial"/>
      <family val="2"/>
    </font>
    <font>
      <u/>
      <sz val="10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0.5"/>
      <color theme="1"/>
      <name val="Arial"/>
      <family val="2"/>
    </font>
    <font>
      <sz val="10.5"/>
      <name val="Arial"/>
      <family val="2"/>
    </font>
    <font>
      <b/>
      <u/>
      <sz val="10"/>
      <name val="Arial"/>
      <family val="2"/>
    </font>
    <font>
      <u/>
      <sz val="12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9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573">
    <xf numFmtId="0" fontId="0" fillId="0" borderId="0" xfId="0"/>
    <xf numFmtId="164" fontId="2" fillId="0" borderId="0" xfId="0" applyNumberFormat="1" applyFont="1" applyAlignment="1">
      <alignment vertical="center"/>
    </xf>
    <xf numFmtId="164" fontId="2" fillId="0" borderId="0" xfId="0" applyNumberFormat="1" applyFont="1" applyBorder="1" applyAlignment="1">
      <alignment vertical="center"/>
    </xf>
    <xf numFmtId="164" fontId="1" fillId="0" borderId="3" xfId="0" applyNumberFormat="1" applyFont="1" applyFill="1" applyBorder="1" applyAlignment="1">
      <alignment horizontal="center" vertical="center"/>
    </xf>
    <xf numFmtId="0" fontId="0" fillId="0" borderId="0" xfId="0"/>
    <xf numFmtId="0" fontId="0" fillId="0" borderId="0" xfId="0" applyFont="1" applyFill="1" applyBorder="1"/>
    <xf numFmtId="0" fontId="0" fillId="0" borderId="0" xfId="0" applyFont="1" applyFill="1"/>
    <xf numFmtId="0" fontId="0" fillId="0" borderId="45" xfId="0" applyFont="1" applyFill="1" applyBorder="1"/>
    <xf numFmtId="0" fontId="13" fillId="0" borderId="0" xfId="0" applyFont="1" applyFill="1" applyBorder="1" applyAlignment="1">
      <alignment horizontal="center" vertical="center"/>
    </xf>
    <xf numFmtId="0" fontId="13" fillId="0" borderId="46" xfId="0" applyFont="1" applyFill="1" applyBorder="1" applyAlignment="1">
      <alignment horizontal="center" vertical="center"/>
    </xf>
    <xf numFmtId="164" fontId="14" fillId="0" borderId="0" xfId="0" applyNumberFormat="1" applyFont="1" applyFill="1" applyBorder="1" applyAlignment="1">
      <alignment horizontal="center" vertical="center"/>
    </xf>
    <xf numFmtId="164" fontId="14" fillId="0" borderId="46" xfId="0" applyNumberFormat="1" applyFont="1" applyFill="1" applyBorder="1" applyAlignment="1">
      <alignment horizontal="center" vertical="center"/>
    </xf>
    <xf numFmtId="164" fontId="14" fillId="0" borderId="15" xfId="0" applyNumberFormat="1" applyFont="1" applyFill="1" applyBorder="1" applyAlignment="1">
      <alignment horizontal="center" vertical="center"/>
    </xf>
    <xf numFmtId="164" fontId="14" fillId="0" borderId="47" xfId="0" applyNumberFormat="1" applyFont="1" applyFill="1" applyBorder="1" applyAlignment="1">
      <alignment horizontal="center" vertical="center"/>
    </xf>
    <xf numFmtId="0" fontId="22" fillId="0" borderId="0" xfId="0" applyFont="1" applyFill="1" applyAlignment="1"/>
    <xf numFmtId="0" fontId="0" fillId="0" borderId="43" xfId="0" applyFont="1" applyFill="1" applyBorder="1"/>
    <xf numFmtId="4" fontId="0" fillId="0" borderId="0" xfId="0" applyNumberFormat="1" applyFont="1" applyFill="1"/>
    <xf numFmtId="4" fontId="0" fillId="0" borderId="43" xfId="0" applyNumberFormat="1" applyFont="1" applyFill="1" applyBorder="1" applyAlignment="1"/>
    <xf numFmtId="4" fontId="0" fillId="0" borderId="0" xfId="0" applyNumberFormat="1" applyFont="1" applyFill="1" applyAlignment="1"/>
    <xf numFmtId="0" fontId="0" fillId="0" borderId="0" xfId="0" applyFont="1" applyFill="1" applyAlignment="1"/>
    <xf numFmtId="4" fontId="0" fillId="0" borderId="4" xfId="0" applyNumberFormat="1" applyFont="1" applyFill="1" applyBorder="1" applyAlignment="1">
      <alignment horizontal="center"/>
    </xf>
    <xf numFmtId="4" fontId="12" fillId="0" borderId="48" xfId="0" applyNumberFormat="1" applyFont="1" applyFill="1" applyBorder="1"/>
    <xf numFmtId="4" fontId="0" fillId="0" borderId="53" xfId="0" applyNumberFormat="1" applyFont="1" applyFill="1" applyBorder="1"/>
    <xf numFmtId="0" fontId="0" fillId="0" borderId="45" xfId="0" applyFont="1" applyFill="1" applyBorder="1" applyAlignment="1">
      <alignment horizontal="center" vertical="center"/>
    </xf>
    <xf numFmtId="4" fontId="0" fillId="0" borderId="0" xfId="0" applyNumberFormat="1" applyFont="1" applyFill="1" applyBorder="1"/>
    <xf numFmtId="4" fontId="0" fillId="0" borderId="0" xfId="0" applyNumberFormat="1" applyFont="1" applyFill="1" applyBorder="1" applyAlignment="1">
      <alignment horizontal="right" vertical="center"/>
    </xf>
    <xf numFmtId="4" fontId="0" fillId="0" borderId="46" xfId="0" applyNumberFormat="1" applyFont="1" applyFill="1" applyBorder="1" applyAlignment="1">
      <alignment horizontal="right"/>
    </xf>
    <xf numFmtId="4" fontId="0" fillId="0" borderId="45" xfId="0" applyNumberFormat="1" applyFont="1" applyFill="1" applyBorder="1" applyAlignment="1">
      <alignment horizontal="right"/>
    </xf>
    <xf numFmtId="4" fontId="0" fillId="0" borderId="4" xfId="0" applyNumberFormat="1" applyFont="1" applyFill="1" applyBorder="1" applyAlignment="1">
      <alignment horizontal="right" vertical="center"/>
    </xf>
    <xf numFmtId="4" fontId="0" fillId="0" borderId="53" xfId="0" applyNumberFormat="1" applyFont="1" applyFill="1" applyBorder="1" applyAlignment="1">
      <alignment horizontal="right"/>
    </xf>
    <xf numFmtId="0" fontId="0" fillId="0" borderId="39" xfId="0" applyFont="1" applyFill="1" applyBorder="1" applyAlignment="1">
      <alignment horizontal="center" vertical="center"/>
    </xf>
    <xf numFmtId="4" fontId="0" fillId="0" borderId="15" xfId="0" applyNumberFormat="1" applyFont="1" applyFill="1" applyBorder="1"/>
    <xf numFmtId="4" fontId="0" fillId="0" borderId="15" xfId="0" applyNumberFormat="1" applyFont="1" applyFill="1" applyBorder="1" applyAlignment="1">
      <alignment horizontal="right" vertical="center"/>
    </xf>
    <xf numFmtId="4" fontId="0" fillId="0" borderId="47" xfId="0" applyNumberFormat="1" applyFont="1" applyFill="1" applyBorder="1" applyAlignment="1">
      <alignment horizontal="right"/>
    </xf>
    <xf numFmtId="4" fontId="0" fillId="0" borderId="39" xfId="0" applyNumberFormat="1" applyFont="1" applyFill="1" applyBorder="1" applyAlignment="1">
      <alignment horizontal="right"/>
    </xf>
    <xf numFmtId="4" fontId="0" fillId="0" borderId="0" xfId="0" applyNumberFormat="1" applyFont="1" applyFill="1" applyAlignment="1">
      <alignment horizontal="right"/>
    </xf>
    <xf numFmtId="4" fontId="0" fillId="0" borderId="0" xfId="0" applyNumberFormat="1" applyFont="1" applyFill="1" applyBorder="1" applyAlignment="1">
      <alignment horizontal="right"/>
    </xf>
    <xf numFmtId="4" fontId="0" fillId="0" borderId="45" xfId="0" applyNumberFormat="1" applyFont="1" applyFill="1" applyBorder="1" applyAlignment="1">
      <alignment horizontal="center"/>
    </xf>
    <xf numFmtId="0" fontId="11" fillId="0" borderId="46" xfId="0" applyFont="1" applyFill="1" applyBorder="1" applyAlignment="1"/>
    <xf numFmtId="0" fontId="11" fillId="0" borderId="0" xfId="0" applyFont="1" applyFill="1" applyAlignment="1"/>
    <xf numFmtId="4" fontId="0" fillId="0" borderId="40" xfId="0" applyNumberFormat="1" applyFont="1" applyFill="1" applyBorder="1" applyAlignment="1"/>
    <xf numFmtId="4" fontId="0" fillId="0" borderId="43" xfId="0" applyNumberFormat="1" applyFont="1" applyFill="1" applyBorder="1"/>
    <xf numFmtId="4" fontId="0" fillId="0" borderId="40" xfId="0" applyNumberFormat="1" applyFont="1" applyFill="1" applyBorder="1"/>
    <xf numFmtId="4" fontId="0" fillId="0" borderId="44" xfId="0" applyNumberFormat="1" applyFont="1" applyFill="1" applyBorder="1"/>
    <xf numFmtId="4" fontId="0" fillId="0" borderId="45" xfId="0" applyNumberFormat="1" applyFont="1" applyFill="1" applyBorder="1"/>
    <xf numFmtId="4" fontId="0" fillId="0" borderId="46" xfId="0" applyNumberFormat="1" applyFont="1" applyFill="1" applyBorder="1"/>
    <xf numFmtId="4" fontId="0" fillId="0" borderId="0" xfId="0" applyNumberFormat="1" applyFont="1" applyFill="1" applyBorder="1" applyAlignment="1"/>
    <xf numFmtId="4" fontId="0" fillId="0" borderId="4" xfId="0" applyNumberFormat="1" applyFont="1" applyFill="1" applyBorder="1" applyAlignment="1">
      <alignment horizontal="right"/>
    </xf>
    <xf numFmtId="4" fontId="0" fillId="0" borderId="4" xfId="0" applyNumberFormat="1" applyFont="1" applyFill="1" applyBorder="1"/>
    <xf numFmtId="4" fontId="0" fillId="0" borderId="48" xfId="0" applyNumberFormat="1" applyFont="1" applyFill="1" applyBorder="1"/>
    <xf numFmtId="4" fontId="0" fillId="0" borderId="39" xfId="0" applyNumberFormat="1" applyFont="1" applyFill="1" applyBorder="1"/>
    <xf numFmtId="4" fontId="0" fillId="0" borderId="15" xfId="0" applyNumberFormat="1" applyFont="1" applyFill="1" applyBorder="1" applyAlignment="1">
      <alignment horizontal="right"/>
    </xf>
    <xf numFmtId="4" fontId="0" fillId="0" borderId="47" xfId="0" applyNumberFormat="1" applyFont="1" applyFill="1" applyBorder="1"/>
    <xf numFmtId="0" fontId="0" fillId="0" borderId="15" xfId="0" applyFont="1" applyFill="1" applyBorder="1"/>
    <xf numFmtId="0" fontId="0" fillId="0" borderId="40" xfId="0" applyFont="1" applyFill="1" applyBorder="1"/>
    <xf numFmtId="4" fontId="0" fillId="0" borderId="40" xfId="0" applyNumberFormat="1" applyFont="1" applyFill="1" applyBorder="1" applyAlignment="1">
      <alignment horizontal="right"/>
    </xf>
    <xf numFmtId="4" fontId="0" fillId="0" borderId="44" xfId="0" applyNumberFormat="1" applyFont="1" applyFill="1" applyBorder="1" applyAlignment="1">
      <alignment horizontal="right"/>
    </xf>
    <xf numFmtId="0" fontId="0" fillId="0" borderId="48" xfId="0" applyFont="1" applyFill="1" applyBorder="1"/>
    <xf numFmtId="0" fontId="0" fillId="0" borderId="4" xfId="0" applyFont="1" applyFill="1" applyBorder="1"/>
    <xf numFmtId="4" fontId="12" fillId="0" borderId="0" xfId="0" applyNumberFormat="1" applyFont="1" applyFill="1"/>
    <xf numFmtId="4" fontId="23" fillId="0" borderId="45" xfId="0" applyNumberFormat="1" applyFont="1" applyFill="1" applyBorder="1"/>
    <xf numFmtId="0" fontId="0" fillId="0" borderId="39" xfId="0" applyFont="1" applyFill="1" applyBorder="1"/>
    <xf numFmtId="164" fontId="1" fillId="0" borderId="63" xfId="0" applyNumberFormat="1" applyFont="1" applyFill="1" applyBorder="1" applyAlignment="1">
      <alignment horizontal="center" vertical="center" wrapText="1"/>
    </xf>
    <xf numFmtId="164" fontId="1" fillId="0" borderId="31" xfId="0" applyNumberFormat="1" applyFont="1" applyFill="1" applyBorder="1" applyAlignment="1">
      <alignment horizontal="center" vertical="center"/>
    </xf>
    <xf numFmtId="165" fontId="1" fillId="0" borderId="68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164" fontId="1" fillId="0" borderId="69" xfId="0" applyNumberFormat="1" applyFont="1" applyFill="1" applyBorder="1" applyAlignment="1">
      <alignment horizontal="center" vertical="center"/>
    </xf>
    <xf numFmtId="164" fontId="1" fillId="0" borderId="3" xfId="0" applyNumberFormat="1" applyFont="1" applyFill="1" applyBorder="1" applyAlignment="1">
      <alignment horizontal="center"/>
    </xf>
    <xf numFmtId="164" fontId="1" fillId="0" borderId="62" xfId="0" applyNumberFormat="1" applyFont="1" applyFill="1" applyBorder="1" applyAlignment="1">
      <alignment horizontal="center"/>
    </xf>
    <xf numFmtId="164" fontId="2" fillId="0" borderId="20" xfId="0" applyNumberFormat="1" applyFont="1" applyFill="1" applyBorder="1" applyAlignment="1">
      <alignment horizontal="right"/>
    </xf>
    <xf numFmtId="164" fontId="2" fillId="0" borderId="6" xfId="0" applyNumberFormat="1" applyFont="1" applyFill="1" applyBorder="1" applyAlignment="1"/>
    <xf numFmtId="164" fontId="2" fillId="0" borderId="3" xfId="0" applyNumberFormat="1" applyFont="1" applyFill="1" applyBorder="1" applyAlignment="1">
      <alignment horizontal="right"/>
    </xf>
    <xf numFmtId="164" fontId="2" fillId="0" borderId="7" xfId="0" applyNumberFormat="1" applyFont="1" applyFill="1" applyBorder="1" applyAlignment="1"/>
    <xf numFmtId="164" fontId="2" fillId="0" borderId="24" xfId="0" applyNumberFormat="1" applyFont="1" applyFill="1" applyBorder="1" applyAlignment="1">
      <alignment horizontal="right"/>
    </xf>
    <xf numFmtId="164" fontId="1" fillId="0" borderId="20" xfId="0" applyNumberFormat="1" applyFont="1" applyFill="1" applyBorder="1" applyAlignment="1">
      <alignment horizontal="right"/>
    </xf>
    <xf numFmtId="164" fontId="2" fillId="0" borderId="0" xfId="0" applyNumberFormat="1" applyFont="1" applyFill="1" applyAlignment="1">
      <alignment horizontal="right"/>
    </xf>
    <xf numFmtId="164" fontId="2" fillId="0" borderId="1" xfId="0" applyNumberFormat="1" applyFont="1" applyFill="1" applyBorder="1" applyAlignment="1"/>
    <xf numFmtId="164" fontId="2" fillId="0" borderId="9" xfId="0" applyNumberFormat="1" applyFont="1" applyFill="1" applyBorder="1" applyAlignment="1"/>
    <xf numFmtId="164" fontId="1" fillId="0" borderId="18" xfId="0" applyNumberFormat="1" applyFont="1" applyFill="1" applyBorder="1" applyAlignment="1"/>
    <xf numFmtId="164" fontId="2" fillId="0" borderId="11" xfId="0" applyNumberFormat="1" applyFont="1" applyFill="1" applyBorder="1" applyAlignment="1"/>
    <xf numFmtId="164" fontId="2" fillId="0" borderId="0" xfId="0" applyNumberFormat="1" applyFont="1" applyFill="1" applyBorder="1" applyAlignment="1">
      <alignment horizontal="right"/>
    </xf>
    <xf numFmtId="164" fontId="1" fillId="0" borderId="1" xfId="0" applyNumberFormat="1" applyFont="1" applyFill="1" applyBorder="1" applyAlignment="1">
      <alignment horizontal="center"/>
    </xf>
    <xf numFmtId="0" fontId="2" fillId="0" borderId="19" xfId="0" applyNumberFormat="1" applyFont="1" applyFill="1" applyBorder="1" applyAlignment="1">
      <alignment horizontal="right"/>
    </xf>
    <xf numFmtId="0" fontId="2" fillId="0" borderId="2" xfId="0" applyNumberFormat="1" applyFont="1" applyFill="1" applyBorder="1" applyAlignment="1">
      <alignment horizontal="right"/>
    </xf>
    <xf numFmtId="164" fontId="2" fillId="0" borderId="55" xfId="0" applyNumberFormat="1" applyFont="1" applyFill="1" applyBorder="1" applyAlignment="1">
      <alignment horizontal="right"/>
    </xf>
    <xf numFmtId="164" fontId="2" fillId="0" borderId="18" xfId="0" applyNumberFormat="1" applyFont="1" applyFill="1" applyBorder="1" applyAlignment="1"/>
    <xf numFmtId="164" fontId="2" fillId="0" borderId="2" xfId="0" applyNumberFormat="1" applyFont="1" applyFill="1" applyBorder="1" applyAlignment="1"/>
    <xf numFmtId="164" fontId="2" fillId="0" borderId="1" xfId="0" applyNumberFormat="1" applyFont="1" applyFill="1" applyBorder="1" applyAlignment="1">
      <alignment wrapText="1"/>
    </xf>
    <xf numFmtId="164" fontId="1" fillId="0" borderId="16" xfId="0" applyNumberFormat="1" applyFont="1" applyFill="1" applyBorder="1" applyAlignment="1"/>
    <xf numFmtId="164" fontId="1" fillId="0" borderId="20" xfId="0" applyNumberFormat="1" applyFont="1" applyFill="1" applyBorder="1" applyAlignment="1"/>
    <xf numFmtId="4" fontId="24" fillId="0" borderId="3" xfId="0" applyNumberFormat="1" applyFont="1" applyFill="1" applyBorder="1" applyAlignment="1">
      <alignment horizontal="center" vertical="center"/>
    </xf>
    <xf numFmtId="164" fontId="1" fillId="0" borderId="20" xfId="0" applyNumberFormat="1" applyFont="1" applyFill="1" applyBorder="1" applyAlignment="1">
      <alignment horizontal="center"/>
    </xf>
    <xf numFmtId="4" fontId="24" fillId="0" borderId="0" xfId="0" applyNumberFormat="1" applyFont="1" applyFill="1" applyBorder="1" applyAlignment="1">
      <alignment horizontal="center"/>
    </xf>
    <xf numFmtId="164" fontId="1" fillId="0" borderId="57" xfId="0" applyNumberFormat="1" applyFont="1" applyFill="1" applyBorder="1" applyAlignment="1"/>
    <xf numFmtId="164" fontId="1" fillId="0" borderId="58" xfId="0" applyNumberFormat="1" applyFont="1" applyFill="1" applyBorder="1" applyAlignment="1">
      <alignment horizontal="right"/>
    </xf>
    <xf numFmtId="164" fontId="2" fillId="0" borderId="59" xfId="0" applyNumberFormat="1" applyFont="1" applyFill="1" applyBorder="1" applyAlignment="1"/>
    <xf numFmtId="164" fontId="2" fillId="0" borderId="28" xfId="0" applyNumberFormat="1" applyFont="1" applyFill="1" applyBorder="1" applyAlignment="1">
      <alignment horizontal="right"/>
    </xf>
    <xf numFmtId="164" fontId="2" fillId="0" borderId="13" xfId="0" applyNumberFormat="1" applyFont="1" applyFill="1" applyBorder="1" applyAlignment="1"/>
    <xf numFmtId="164" fontId="2" fillId="0" borderId="0" xfId="0" applyNumberFormat="1" applyFont="1" applyFill="1" applyBorder="1" applyAlignment="1"/>
    <xf numFmtId="164" fontId="2" fillId="0" borderId="38" xfId="0" applyNumberFormat="1" applyFont="1" applyFill="1" applyBorder="1" applyAlignment="1"/>
    <xf numFmtId="164" fontId="2" fillId="0" borderId="69" xfId="0" applyNumberFormat="1" applyFont="1" applyFill="1" applyBorder="1" applyAlignment="1">
      <alignment horizontal="right"/>
    </xf>
    <xf numFmtId="164" fontId="1" fillId="0" borderId="66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right"/>
    </xf>
    <xf numFmtId="164" fontId="2" fillId="0" borderId="22" xfId="0" applyNumberFormat="1" applyFont="1" applyFill="1" applyBorder="1" applyAlignment="1">
      <alignment horizontal="right"/>
    </xf>
    <xf numFmtId="164" fontId="2" fillId="0" borderId="72" xfId="0" applyNumberFormat="1" applyFont="1" applyFill="1" applyBorder="1" applyAlignment="1">
      <alignment horizontal="right"/>
    </xf>
    <xf numFmtId="0" fontId="0" fillId="0" borderId="0" xfId="0" applyFill="1"/>
    <xf numFmtId="167" fontId="0" fillId="0" borderId="44" xfId="0" applyNumberFormat="1" applyFont="1" applyFill="1" applyBorder="1" applyAlignment="1"/>
    <xf numFmtId="164" fontId="0" fillId="0" borderId="10" xfId="0" applyNumberFormat="1" applyFont="1" applyFill="1" applyBorder="1" applyAlignment="1">
      <alignment horizontal="right" vertical="top"/>
    </xf>
    <xf numFmtId="168" fontId="12" fillId="0" borderId="53" xfId="0" applyNumberFormat="1" applyFont="1" applyFill="1" applyBorder="1" applyAlignment="1">
      <alignment horizontal="left"/>
    </xf>
    <xf numFmtId="167" fontId="0" fillId="0" borderId="53" xfId="0" applyNumberFormat="1" applyFont="1" applyFill="1" applyBorder="1"/>
    <xf numFmtId="164" fontId="0" fillId="0" borderId="54" xfId="0" applyNumberFormat="1" applyFont="1" applyFill="1" applyBorder="1" applyAlignment="1">
      <alignment horizontal="right" vertical="top"/>
    </xf>
    <xf numFmtId="167" fontId="0" fillId="0" borderId="46" xfId="0" applyNumberFormat="1" applyFont="1" applyFill="1" applyBorder="1" applyAlignment="1">
      <alignment horizontal="center"/>
    </xf>
    <xf numFmtId="164" fontId="0" fillId="0" borderId="52" xfId="0" applyNumberFormat="1" applyFont="1" applyFill="1" applyBorder="1" applyAlignment="1">
      <alignment horizontal="right"/>
    </xf>
    <xf numFmtId="167" fontId="0" fillId="0" borderId="53" xfId="0" applyNumberFormat="1" applyFont="1" applyFill="1" applyBorder="1" applyAlignment="1">
      <alignment horizontal="center"/>
    </xf>
    <xf numFmtId="167" fontId="0" fillId="0" borderId="47" xfId="0" applyNumberFormat="1" applyFont="1" applyFill="1" applyBorder="1" applyAlignment="1">
      <alignment horizontal="center"/>
    </xf>
    <xf numFmtId="4" fontId="0" fillId="0" borderId="20" xfId="0" applyNumberFormat="1" applyFont="1" applyFill="1" applyBorder="1" applyAlignment="1">
      <alignment horizontal="right"/>
    </xf>
    <xf numFmtId="168" fontId="0" fillId="0" borderId="0" xfId="0" applyNumberFormat="1" applyFont="1" applyFill="1" applyAlignment="1">
      <alignment horizontal="right"/>
    </xf>
    <xf numFmtId="167" fontId="0" fillId="0" borderId="0" xfId="0" applyNumberFormat="1" applyFont="1" applyFill="1" applyBorder="1" applyAlignment="1">
      <alignment horizontal="right"/>
    </xf>
    <xf numFmtId="167" fontId="0" fillId="0" borderId="44" xfId="0" applyNumberFormat="1" applyFont="1" applyFill="1" applyBorder="1"/>
    <xf numFmtId="167" fontId="0" fillId="0" borderId="46" xfId="0" applyNumberFormat="1" applyFont="1" applyFill="1" applyBorder="1"/>
    <xf numFmtId="167" fontId="0" fillId="0" borderId="47" xfId="0" applyNumberFormat="1" applyFont="1" applyFill="1" applyBorder="1"/>
    <xf numFmtId="168" fontId="0" fillId="0" borderId="0" xfId="0" applyNumberFormat="1" applyFont="1" applyFill="1"/>
    <xf numFmtId="4" fontId="0" fillId="0" borderId="0" xfId="0" applyNumberFormat="1" applyFill="1"/>
    <xf numFmtId="167" fontId="0" fillId="0" borderId="0" xfId="0" applyNumberFormat="1" applyFont="1" applyFill="1"/>
    <xf numFmtId="169" fontId="0" fillId="0" borderId="0" xfId="0" applyNumberFormat="1" applyFont="1" applyFill="1"/>
    <xf numFmtId="168" fontId="0" fillId="0" borderId="40" xfId="0" applyNumberFormat="1" applyFont="1" applyFill="1" applyBorder="1" applyAlignment="1">
      <alignment horizontal="right"/>
    </xf>
    <xf numFmtId="168" fontId="0" fillId="0" borderId="4" xfId="0" applyNumberFormat="1" applyFont="1" applyFill="1" applyBorder="1" applyAlignment="1">
      <alignment horizontal="right"/>
    </xf>
    <xf numFmtId="167" fontId="0" fillId="0" borderId="4" xfId="0" applyNumberFormat="1" applyFont="1" applyFill="1" applyBorder="1"/>
    <xf numFmtId="167" fontId="0" fillId="0" borderId="0" xfId="0" applyNumberFormat="1" applyFont="1" applyFill="1" applyBorder="1"/>
    <xf numFmtId="4" fontId="26" fillId="0" borderId="0" xfId="0" applyNumberFormat="1" applyFont="1" applyFill="1" applyBorder="1" applyAlignment="1">
      <alignment horizontal="right"/>
    </xf>
    <xf numFmtId="4" fontId="26" fillId="0" borderId="46" xfId="0" applyNumberFormat="1" applyFont="1" applyFill="1" applyBorder="1"/>
    <xf numFmtId="167" fontId="0" fillId="0" borderId="15" xfId="0" applyNumberFormat="1" applyFont="1" applyFill="1" applyBorder="1"/>
    <xf numFmtId="168" fontId="0" fillId="0" borderId="0" xfId="0" applyNumberFormat="1" applyFont="1" applyFill="1" applyBorder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/>
    <xf numFmtId="0" fontId="1" fillId="0" borderId="0" xfId="0" applyFont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4" fontId="1" fillId="0" borderId="0" xfId="0" applyNumberFormat="1" applyFont="1" applyAlignment="1">
      <alignment horizontal="center"/>
    </xf>
    <xf numFmtId="14" fontId="1" fillId="0" borderId="45" xfId="0" applyNumberFormat="1" applyFont="1" applyBorder="1" applyAlignment="1">
      <alignment horizontal="center"/>
    </xf>
    <xf numFmtId="14" fontId="1" fillId="0" borderId="46" xfId="0" applyNumberFormat="1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166" fontId="7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166" fontId="7" fillId="0" borderId="45" xfId="0" applyNumberFormat="1" applyFont="1" applyBorder="1" applyAlignment="1">
      <alignment horizontal="center"/>
    </xf>
    <xf numFmtId="166" fontId="7" fillId="0" borderId="46" xfId="0" applyNumberFormat="1" applyFont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164" fontId="7" fillId="0" borderId="45" xfId="0" applyNumberFormat="1" applyFont="1" applyBorder="1" applyAlignment="1">
      <alignment horizontal="center"/>
    </xf>
    <xf numFmtId="164" fontId="7" fillId="0" borderId="46" xfId="0" applyNumberFormat="1" applyFont="1" applyBorder="1" applyAlignment="1">
      <alignment horizontal="center"/>
    </xf>
    <xf numFmtId="164" fontId="7" fillId="0" borderId="39" xfId="0" applyNumberFormat="1" applyFont="1" applyBorder="1" applyAlignment="1">
      <alignment horizontal="center"/>
    </xf>
    <xf numFmtId="164" fontId="7" fillId="0" borderId="47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0" fontId="7" fillId="0" borderId="0" xfId="0" applyFont="1" applyAlignment="1"/>
    <xf numFmtId="164" fontId="0" fillId="0" borderId="0" xfId="0" applyNumberFormat="1"/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164" fontId="7" fillId="0" borderId="0" xfId="0" applyNumberFormat="1" applyFont="1"/>
    <xf numFmtId="0" fontId="2" fillId="0" borderId="0" xfId="0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4" fontId="2" fillId="0" borderId="0" xfId="0" applyNumberFormat="1" applyFont="1" applyFill="1" applyBorder="1" applyAlignment="1">
      <alignment vertical="center"/>
    </xf>
    <xf numFmtId="164" fontId="2" fillId="0" borderId="46" xfId="0" applyNumberFormat="1" applyFont="1" applyFill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10" fontId="2" fillId="0" borderId="0" xfId="0" applyNumberFormat="1" applyFont="1" applyAlignment="1">
      <alignment horizontal="left" vertical="center"/>
    </xf>
    <xf numFmtId="4" fontId="28" fillId="0" borderId="0" xfId="0" applyNumberFormat="1" applyFont="1" applyFill="1" applyBorder="1" applyAlignment="1">
      <alignment vertical="center"/>
    </xf>
    <xf numFmtId="10" fontId="7" fillId="0" borderId="0" xfId="0" applyNumberFormat="1" applyFont="1"/>
    <xf numFmtId="4" fontId="29" fillId="0" borderId="0" xfId="0" applyNumberFormat="1" applyFont="1" applyFill="1" applyBorder="1" applyAlignment="1">
      <alignment vertical="center"/>
    </xf>
    <xf numFmtId="164" fontId="29" fillId="0" borderId="0" xfId="0" applyNumberFormat="1" applyFont="1"/>
    <xf numFmtId="164" fontId="2" fillId="0" borderId="4" xfId="0" applyNumberFormat="1" applyFont="1" applyFill="1" applyBorder="1" applyAlignment="1">
      <alignment vertical="center"/>
    </xf>
    <xf numFmtId="164" fontId="2" fillId="0" borderId="53" xfId="0" applyNumberFormat="1" applyFont="1" applyFill="1" applyBorder="1" applyAlignment="1">
      <alignment vertical="center"/>
    </xf>
    <xf numFmtId="10" fontId="28" fillId="0" borderId="0" xfId="0" applyNumberFormat="1" applyFont="1" applyAlignment="1">
      <alignment horizontal="left" vertical="center"/>
    </xf>
    <xf numFmtId="0" fontId="28" fillId="0" borderId="0" xfId="0" applyFont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9" fontId="2" fillId="0" borderId="45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9" fontId="2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170" fontId="2" fillId="0" borderId="45" xfId="0" applyNumberFormat="1" applyFont="1" applyFill="1" applyBorder="1" applyAlignment="1">
      <alignment vertical="center"/>
    </xf>
    <xf numFmtId="170" fontId="2" fillId="0" borderId="0" xfId="0" applyNumberFormat="1" applyFont="1" applyFill="1" applyBorder="1" applyAlignment="1">
      <alignment vertical="center"/>
    </xf>
    <xf numFmtId="164" fontId="2" fillId="0" borderId="0" xfId="0" applyNumberFormat="1" applyFont="1" applyFill="1" applyAlignment="1">
      <alignment vertical="center"/>
    </xf>
    <xf numFmtId="14" fontId="2" fillId="0" borderId="39" xfId="0" applyNumberFormat="1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164" fontId="2" fillId="0" borderId="15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64" fontId="7" fillId="0" borderId="0" xfId="0" applyNumberFormat="1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164" fontId="2" fillId="3" borderId="0" xfId="0" applyNumberFormat="1" applyFont="1" applyFill="1" applyBorder="1" applyAlignment="1">
      <alignment vertical="center"/>
    </xf>
    <xf numFmtId="4" fontId="28" fillId="0" borderId="0" xfId="0" applyNumberFormat="1" applyFont="1" applyBorder="1" applyAlignment="1">
      <alignment vertical="center"/>
    </xf>
    <xf numFmtId="10" fontId="2" fillId="0" borderId="0" xfId="0" applyNumberFormat="1" applyFont="1" applyFill="1" applyAlignment="1">
      <alignment horizontal="left" vertical="center"/>
    </xf>
    <xf numFmtId="4" fontId="29" fillId="0" borderId="0" xfId="0" applyNumberFormat="1" applyFont="1" applyBorder="1" applyAlignment="1">
      <alignment vertical="center"/>
    </xf>
    <xf numFmtId="0" fontId="7" fillId="0" borderId="0" xfId="0" applyFont="1" applyBorder="1"/>
    <xf numFmtId="0" fontId="2" fillId="0" borderId="46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10" fontId="2" fillId="0" borderId="45" xfId="0" applyNumberFormat="1" applyFont="1" applyFill="1" applyBorder="1" applyAlignment="1">
      <alignment horizontal="left" vertical="center"/>
    </xf>
    <xf numFmtId="164" fontId="2" fillId="2" borderId="0" xfId="0" applyNumberFormat="1" applyFont="1" applyFill="1" applyBorder="1" applyAlignment="1">
      <alignment vertical="center"/>
    </xf>
    <xf numFmtId="171" fontId="2" fillId="0" borderId="0" xfId="0" applyNumberFormat="1" applyFont="1" applyFill="1" applyBorder="1" applyAlignment="1">
      <alignment vertical="center"/>
    </xf>
    <xf numFmtId="164" fontId="7" fillId="0" borderId="0" xfId="0" applyNumberFormat="1" applyFont="1" applyBorder="1"/>
    <xf numFmtId="4" fontId="2" fillId="0" borderId="46" xfId="0" applyNumberFormat="1" applyFont="1" applyBorder="1" applyAlignment="1">
      <alignment vertical="center"/>
    </xf>
    <xf numFmtId="14" fontId="2" fillId="0" borderId="39" xfId="0" applyNumberFormat="1" applyFont="1" applyBorder="1" applyAlignment="1">
      <alignment vertical="center"/>
    </xf>
    <xf numFmtId="49" fontId="2" fillId="0" borderId="15" xfId="0" applyNumberFormat="1" applyFont="1" applyFill="1" applyBorder="1" applyAlignment="1">
      <alignment vertical="center"/>
    </xf>
    <xf numFmtId="164" fontId="2" fillId="0" borderId="47" xfId="0" applyNumberFormat="1" applyFont="1" applyFill="1" applyBorder="1" applyAlignment="1">
      <alignment vertical="center"/>
    </xf>
    <xf numFmtId="0" fontId="7" fillId="0" borderId="0" xfId="0" applyFont="1" applyBorder="1" applyAlignment="1">
      <alignment horizontal="left" vertical="top"/>
    </xf>
    <xf numFmtId="164" fontId="7" fillId="0" borderId="0" xfId="0" applyNumberFormat="1" applyFont="1" applyFill="1" applyBorder="1"/>
    <xf numFmtId="0" fontId="7" fillId="0" borderId="0" xfId="0" applyFont="1" applyFill="1" applyBorder="1"/>
    <xf numFmtId="0" fontId="7" fillId="0" borderId="0" xfId="0" applyFont="1" applyAlignment="1">
      <alignment horizontal="left"/>
    </xf>
    <xf numFmtId="164" fontId="2" fillId="0" borderId="5" xfId="0" applyNumberFormat="1" applyFont="1" applyFill="1" applyBorder="1" applyAlignment="1"/>
    <xf numFmtId="0" fontId="2" fillId="2" borderId="0" xfId="0" applyFont="1" applyFill="1" applyBorder="1" applyAlignment="1">
      <alignment vertical="center"/>
    </xf>
    <xf numFmtId="4" fontId="2" fillId="2" borderId="0" xfId="0" applyNumberFormat="1" applyFont="1" applyFill="1" applyBorder="1" applyAlignment="1">
      <alignment vertical="center"/>
    </xf>
    <xf numFmtId="49" fontId="0" fillId="0" borderId="0" xfId="0" applyNumberFormat="1" applyAlignment="1">
      <alignment horizontal="center"/>
    </xf>
    <xf numFmtId="49" fontId="25" fillId="0" borderId="74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49" fontId="25" fillId="0" borderId="0" xfId="0" applyNumberFormat="1" applyFont="1"/>
    <xf numFmtId="172" fontId="25" fillId="0" borderId="0" xfId="0" applyNumberFormat="1" applyFont="1"/>
    <xf numFmtId="173" fontId="25" fillId="0" borderId="0" xfId="0" applyNumberFormat="1" applyFont="1"/>
    <xf numFmtId="49" fontId="8" fillId="0" borderId="0" xfId="0" applyNumberFormat="1" applyFont="1"/>
    <xf numFmtId="172" fontId="8" fillId="0" borderId="0" xfId="0" applyNumberFormat="1" applyFont="1"/>
    <xf numFmtId="49" fontId="8" fillId="0" borderId="0" xfId="0" applyNumberFormat="1" applyFont="1" applyAlignment="1">
      <alignment horizontal="centerContinuous"/>
    </xf>
    <xf numFmtId="173" fontId="8" fillId="0" borderId="0" xfId="0" applyNumberFormat="1" applyFont="1"/>
    <xf numFmtId="173" fontId="8" fillId="0" borderId="0" xfId="0" applyNumberFormat="1" applyFont="1" applyBorder="1"/>
    <xf numFmtId="173" fontId="8" fillId="0" borderId="40" xfId="0" applyNumberFormat="1" applyFont="1" applyBorder="1"/>
    <xf numFmtId="173" fontId="25" fillId="0" borderId="75" xfId="0" applyNumberFormat="1" applyFont="1" applyBorder="1"/>
    <xf numFmtId="0" fontId="25" fillId="0" borderId="0" xfId="0" applyFont="1"/>
    <xf numFmtId="0" fontId="0" fillId="0" borderId="0" xfId="0" applyNumberFormat="1"/>
    <xf numFmtId="164" fontId="0" fillId="0" borderId="4" xfId="0" applyNumberFormat="1" applyBorder="1"/>
    <xf numFmtId="164" fontId="2" fillId="0" borderId="1" xfId="0" applyNumberFormat="1" applyFont="1" applyFill="1" applyBorder="1" applyAlignment="1">
      <alignment horizontal="right"/>
    </xf>
    <xf numFmtId="0" fontId="2" fillId="0" borderId="45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46" xfId="0" applyFont="1" applyFill="1" applyBorder="1" applyAlignment="1">
      <alignment vertical="center"/>
    </xf>
    <xf numFmtId="0" fontId="2" fillId="0" borderId="4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1" xfId="0" applyNumberFormat="1" applyFont="1" applyFill="1" applyBorder="1" applyAlignment="1"/>
    <xf numFmtId="164" fontId="1" fillId="0" borderId="65" xfId="0" applyNumberFormat="1" applyFont="1" applyFill="1" applyBorder="1" applyAlignment="1">
      <alignment horizontal="center" vertical="center"/>
    </xf>
    <xf numFmtId="164" fontId="1" fillId="0" borderId="18" xfId="0" applyNumberFormat="1" applyFont="1" applyFill="1" applyBorder="1" applyAlignment="1">
      <alignment horizontal="center"/>
    </xf>
    <xf numFmtId="164" fontId="2" fillId="0" borderId="9" xfId="0" applyNumberFormat="1" applyFont="1" applyFill="1" applyBorder="1" applyAlignment="1">
      <alignment horizontal="right"/>
    </xf>
    <xf numFmtId="164" fontId="2" fillId="0" borderId="38" xfId="0" applyNumberFormat="1" applyFont="1" applyFill="1" applyBorder="1" applyAlignment="1">
      <alignment horizontal="right"/>
    </xf>
    <xf numFmtId="164" fontId="1" fillId="0" borderId="16" xfId="0" applyNumberFormat="1" applyFont="1" applyFill="1" applyBorder="1" applyAlignment="1">
      <alignment horizontal="right"/>
    </xf>
    <xf numFmtId="164" fontId="1" fillId="0" borderId="18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0" fontId="2" fillId="0" borderId="1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right"/>
    </xf>
    <xf numFmtId="164" fontId="1" fillId="0" borderId="39" xfId="0" applyNumberFormat="1" applyFont="1" applyFill="1" applyBorder="1" applyAlignment="1">
      <alignment horizontal="right"/>
    </xf>
    <xf numFmtId="164" fontId="1" fillId="0" borderId="64" xfId="0" applyNumberFormat="1" applyFont="1" applyFill="1" applyBorder="1" applyAlignment="1">
      <alignment horizontal="center" vertical="center"/>
    </xf>
    <xf numFmtId="14" fontId="1" fillId="0" borderId="67" xfId="0" applyNumberFormat="1" applyFont="1" applyFill="1" applyBorder="1" applyAlignment="1">
      <alignment horizontal="center" vertical="center" wrapText="1"/>
    </xf>
    <xf numFmtId="164" fontId="2" fillId="0" borderId="8" xfId="0" applyNumberFormat="1" applyFont="1" applyFill="1" applyBorder="1" applyAlignment="1"/>
    <xf numFmtId="164" fontId="2" fillId="0" borderId="14" xfId="0" applyNumberFormat="1" applyFont="1" applyFill="1" applyBorder="1" applyAlignment="1"/>
    <xf numFmtId="164" fontId="2" fillId="0" borderId="16" xfId="0" applyNumberFormat="1" applyFont="1" applyFill="1" applyBorder="1" applyAlignment="1">
      <alignment horizontal="right"/>
    </xf>
    <xf numFmtId="164" fontId="2" fillId="0" borderId="15" xfId="0" applyNumberFormat="1" applyFont="1" applyFill="1" applyBorder="1" applyAlignment="1">
      <alignment horizontal="right"/>
    </xf>
    <xf numFmtId="164" fontId="2" fillId="0" borderId="60" xfId="0" applyNumberFormat="1" applyFont="1" applyFill="1" applyBorder="1" applyAlignment="1"/>
    <xf numFmtId="164" fontId="2" fillId="0" borderId="17" xfId="0" applyNumberFormat="1" applyFont="1" applyFill="1" applyBorder="1" applyAlignment="1"/>
    <xf numFmtId="164" fontId="2" fillId="0" borderId="5" xfId="0" applyNumberFormat="1" applyFont="1" applyFill="1" applyBorder="1" applyAlignment="1">
      <alignment horizontal="right"/>
    </xf>
    <xf numFmtId="164" fontId="2" fillId="0" borderId="21" xfId="0" applyNumberFormat="1" applyFont="1" applyFill="1" applyBorder="1" applyAlignment="1"/>
    <xf numFmtId="164" fontId="2" fillId="0" borderId="25" xfId="0" applyNumberFormat="1" applyFont="1" applyFill="1" applyBorder="1" applyAlignment="1"/>
    <xf numFmtId="164" fontId="2" fillId="0" borderId="26" xfId="0" applyNumberFormat="1" applyFont="1" applyFill="1" applyBorder="1" applyAlignment="1">
      <alignment horizontal="right"/>
    </xf>
    <xf numFmtId="164" fontId="2" fillId="0" borderId="0" xfId="0" applyNumberFormat="1" applyFont="1" applyFill="1" applyAlignment="1"/>
    <xf numFmtId="0" fontId="2" fillId="0" borderId="32" xfId="0" applyNumberFormat="1" applyFont="1" applyFill="1" applyBorder="1" applyAlignment="1">
      <alignment horizontal="right"/>
    </xf>
    <xf numFmtId="164" fontId="2" fillId="0" borderId="76" xfId="0" applyNumberFormat="1" applyFont="1" applyFill="1" applyBorder="1" applyAlignment="1">
      <alignment horizontal="right"/>
    </xf>
    <xf numFmtId="164" fontId="2" fillId="0" borderId="39" xfId="0" applyNumberFormat="1" applyFont="1" applyFill="1" applyBorder="1" applyAlignment="1">
      <alignment horizontal="right"/>
    </xf>
    <xf numFmtId="164" fontId="2" fillId="0" borderId="77" xfId="0" applyNumberFormat="1" applyFont="1" applyFill="1" applyBorder="1" applyAlignment="1">
      <alignment horizontal="right"/>
    </xf>
    <xf numFmtId="4" fontId="1" fillId="0" borderId="1" xfId="0" applyNumberFormat="1" applyFont="1" applyFill="1" applyBorder="1" applyAlignment="1">
      <alignment horizontal="center"/>
    </xf>
    <xf numFmtId="164" fontId="1" fillId="0" borderId="78" xfId="0" applyNumberFormat="1" applyFont="1" applyFill="1" applyBorder="1" applyAlignment="1">
      <alignment horizontal="right"/>
    </xf>
    <xf numFmtId="164" fontId="1" fillId="0" borderId="9" xfId="0" applyNumberFormat="1" applyFont="1" applyFill="1" applyBorder="1" applyAlignment="1">
      <alignment horizontal="right"/>
    </xf>
    <xf numFmtId="164" fontId="2" fillId="0" borderId="54" xfId="0" applyNumberFormat="1" applyFont="1" applyFill="1" applyBorder="1" applyAlignment="1">
      <alignment horizontal="right"/>
    </xf>
    <xf numFmtId="164" fontId="2" fillId="0" borderId="4" xfId="0" applyNumberFormat="1" applyFont="1" applyFill="1" applyBorder="1" applyAlignment="1">
      <alignment horizontal="right"/>
    </xf>
    <xf numFmtId="164" fontId="2" fillId="0" borderId="18" xfId="0" applyNumberFormat="1" applyFont="1" applyFill="1" applyBorder="1" applyAlignment="1">
      <alignment horizontal="right"/>
    </xf>
    <xf numFmtId="164" fontId="2" fillId="0" borderId="26" xfId="0" applyNumberFormat="1" applyFont="1" applyFill="1" applyBorder="1" applyAlignment="1"/>
    <xf numFmtId="164" fontId="2" fillId="0" borderId="23" xfId="0" applyNumberFormat="1" applyFont="1" applyFill="1" applyBorder="1" applyAlignment="1">
      <alignment horizontal="right"/>
    </xf>
    <xf numFmtId="164" fontId="2" fillId="0" borderId="80" xfId="0" applyNumberFormat="1" applyFont="1" applyFill="1" applyBorder="1" applyAlignment="1">
      <alignment horizontal="right"/>
    </xf>
    <xf numFmtId="164" fontId="2" fillId="0" borderId="81" xfId="0" applyNumberFormat="1" applyFont="1" applyFill="1" applyBorder="1" applyAlignment="1">
      <alignment horizontal="right"/>
    </xf>
    <xf numFmtId="164" fontId="2" fillId="0" borderId="82" xfId="0" applyNumberFormat="1" applyFont="1" applyFill="1" applyBorder="1" applyAlignment="1">
      <alignment horizontal="right"/>
    </xf>
    <xf numFmtId="164" fontId="2" fillId="0" borderId="83" xfId="0" applyNumberFormat="1" applyFont="1" applyFill="1" applyBorder="1" applyAlignment="1">
      <alignment horizontal="right"/>
    </xf>
    <xf numFmtId="164" fontId="2" fillId="0" borderId="84" xfId="0" applyNumberFormat="1" applyFont="1" applyFill="1" applyBorder="1" applyAlignment="1">
      <alignment horizontal="right"/>
    </xf>
    <xf numFmtId="164" fontId="1" fillId="0" borderId="85" xfId="0" applyNumberFormat="1" applyFont="1" applyFill="1" applyBorder="1" applyAlignment="1">
      <alignment horizontal="right"/>
    </xf>
    <xf numFmtId="164" fontId="2" fillId="0" borderId="86" xfId="0" applyNumberFormat="1" applyFont="1" applyFill="1" applyBorder="1" applyAlignment="1">
      <alignment horizontal="right"/>
    </xf>
    <xf numFmtId="164" fontId="1" fillId="0" borderId="49" xfId="0" applyNumberFormat="1" applyFont="1" applyFill="1" applyBorder="1" applyAlignment="1">
      <alignment horizontal="right"/>
    </xf>
    <xf numFmtId="164" fontId="2" fillId="7" borderId="0" xfId="0" applyNumberFormat="1" applyFont="1" applyFill="1" applyAlignment="1">
      <alignment vertical="center"/>
    </xf>
    <xf numFmtId="164" fontId="2" fillId="0" borderId="4" xfId="0" applyNumberFormat="1" applyFont="1" applyBorder="1" applyAlignment="1">
      <alignment vertical="center"/>
    </xf>
    <xf numFmtId="164" fontId="9" fillId="0" borderId="0" xfId="0" applyNumberFormat="1" applyFont="1"/>
    <xf numFmtId="164" fontId="2" fillId="5" borderId="3" xfId="0" applyNumberFormat="1" applyFont="1" applyFill="1" applyBorder="1" applyAlignment="1">
      <alignment vertical="center"/>
    </xf>
    <xf numFmtId="164" fontId="2" fillId="5" borderId="0" xfId="0" applyNumberFormat="1" applyFont="1" applyFill="1" applyAlignment="1">
      <alignment horizontal="left" vertical="center"/>
    </xf>
    <xf numFmtId="0" fontId="7" fillId="5" borderId="0" xfId="0" applyFont="1" applyFill="1"/>
    <xf numFmtId="164" fontId="7" fillId="5" borderId="0" xfId="0" applyNumberFormat="1" applyFont="1" applyFill="1"/>
    <xf numFmtId="170" fontId="7" fillId="0" borderId="0" xfId="0" applyNumberFormat="1" applyFont="1"/>
    <xf numFmtId="4" fontId="2" fillId="0" borderId="46" xfId="0" applyNumberFormat="1" applyFont="1" applyFill="1" applyBorder="1" applyAlignment="1">
      <alignment vertical="center"/>
    </xf>
    <xf numFmtId="164" fontId="2" fillId="0" borderId="10" xfId="0" applyNumberFormat="1" applyFont="1" applyFill="1" applyBorder="1" applyAlignment="1">
      <alignment vertical="center"/>
    </xf>
    <xf numFmtId="164" fontId="2" fillId="2" borderId="20" xfId="0" applyNumberFormat="1" applyFont="1" applyFill="1" applyBorder="1" applyAlignment="1">
      <alignment vertical="center"/>
    </xf>
    <xf numFmtId="164" fontId="2" fillId="0" borderId="54" xfId="0" applyNumberFormat="1" applyFont="1" applyFill="1" applyBorder="1" applyAlignment="1">
      <alignment vertical="center"/>
    </xf>
    <xf numFmtId="164" fontId="2" fillId="0" borderId="10" xfId="0" applyNumberFormat="1" applyFont="1" applyBorder="1" applyAlignment="1">
      <alignment vertical="center"/>
    </xf>
    <xf numFmtId="164" fontId="7" fillId="0" borderId="4" xfId="0" applyNumberFormat="1" applyFont="1" applyBorder="1"/>
    <xf numFmtId="4" fontId="2" fillId="2" borderId="4" xfId="0" applyNumberFormat="1" applyFont="1" applyFill="1" applyBorder="1" applyAlignment="1">
      <alignment vertical="center"/>
    </xf>
    <xf numFmtId="0" fontId="2" fillId="0" borderId="47" xfId="0" applyFont="1" applyFill="1" applyBorder="1" applyAlignment="1">
      <alignment vertical="center"/>
    </xf>
    <xf numFmtId="164" fontId="29" fillId="0" borderId="0" xfId="0" applyNumberFormat="1" applyFont="1" applyBorder="1"/>
    <xf numFmtId="164" fontId="7" fillId="0" borderId="46" xfId="0" applyNumberFormat="1" applyFont="1" applyBorder="1"/>
    <xf numFmtId="14" fontId="1" fillId="0" borderId="64" xfId="0" applyNumberFormat="1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/>
    </xf>
    <xf numFmtId="164" fontId="2" fillId="0" borderId="27" xfId="0" applyNumberFormat="1" applyFont="1" applyFill="1" applyBorder="1" applyAlignment="1"/>
    <xf numFmtId="164" fontId="2" fillId="0" borderId="42" xfId="0" applyNumberFormat="1" applyFont="1" applyFill="1" applyBorder="1" applyAlignment="1">
      <alignment horizontal="right"/>
    </xf>
    <xf numFmtId="0" fontId="2" fillId="0" borderId="0" xfId="0" applyFont="1" applyFill="1" applyAlignment="1"/>
    <xf numFmtId="0" fontId="13" fillId="0" borderId="0" xfId="0" applyFont="1" applyFill="1" applyAlignment="1">
      <alignment vertical="center"/>
    </xf>
    <xf numFmtId="0" fontId="31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vertical="center"/>
    </xf>
    <xf numFmtId="0" fontId="33" fillId="0" borderId="0" xfId="0" applyFont="1" applyFill="1" applyAlignment="1">
      <alignment vertical="center"/>
    </xf>
    <xf numFmtId="164" fontId="34" fillId="0" borderId="0" xfId="0" applyNumberFormat="1" applyFont="1" applyFill="1" applyAlignment="1">
      <alignment vertical="center"/>
    </xf>
    <xf numFmtId="0" fontId="34" fillId="0" borderId="0" xfId="0" applyFont="1" applyFill="1" applyAlignment="1">
      <alignment vertical="center"/>
    </xf>
    <xf numFmtId="0" fontId="34" fillId="0" borderId="0" xfId="0" applyNumberFormat="1" applyFont="1" applyFill="1" applyBorder="1" applyAlignment="1">
      <alignment horizontal="left" vertical="center"/>
    </xf>
    <xf numFmtId="14" fontId="1" fillId="0" borderId="3" xfId="0" applyNumberFormat="1" applyFont="1" applyFill="1" applyBorder="1" applyAlignment="1">
      <alignment horizontal="center" vertical="center" wrapText="1"/>
    </xf>
    <xf numFmtId="165" fontId="1" fillId="0" borderId="19" xfId="0" applyNumberFormat="1" applyFont="1" applyFill="1" applyBorder="1" applyAlignment="1">
      <alignment horizontal="center"/>
    </xf>
    <xf numFmtId="164" fontId="1" fillId="0" borderId="4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/>
    <xf numFmtId="1" fontId="2" fillId="0" borderId="2" xfId="0" applyNumberFormat="1" applyFont="1" applyFill="1" applyBorder="1" applyAlignment="1">
      <alignment horizontal="right"/>
    </xf>
    <xf numFmtId="4" fontId="2" fillId="0" borderId="3" xfId="0" applyNumberFormat="1" applyFont="1" applyFill="1" applyBorder="1" applyAlignment="1">
      <alignment horizontal="right"/>
    </xf>
    <xf numFmtId="164" fontId="2" fillId="0" borderId="70" xfId="0" applyNumberFormat="1" applyFont="1" applyFill="1" applyBorder="1" applyAlignment="1"/>
    <xf numFmtId="4" fontId="2" fillId="0" borderId="24" xfId="0" applyNumberFormat="1" applyFont="1" applyFill="1" applyBorder="1" applyAlignment="1">
      <alignment horizontal="right"/>
    </xf>
    <xf numFmtId="164" fontId="2" fillId="0" borderId="71" xfId="0" applyNumberFormat="1" applyFont="1" applyFill="1" applyBorder="1" applyAlignment="1"/>
    <xf numFmtId="0" fontId="2" fillId="0" borderId="11" xfId="0" applyNumberFormat="1" applyFont="1" applyFill="1" applyBorder="1" applyAlignment="1"/>
    <xf numFmtId="1" fontId="2" fillId="0" borderId="12" xfId="0" applyNumberFormat="1" applyFont="1" applyFill="1" applyBorder="1" applyAlignment="1">
      <alignment horizontal="right"/>
    </xf>
    <xf numFmtId="4" fontId="2" fillId="0" borderId="20" xfId="0" applyNumberFormat="1" applyFont="1" applyFill="1" applyBorder="1" applyAlignment="1">
      <alignment horizontal="right"/>
    </xf>
    <xf numFmtId="164" fontId="2" fillId="0" borderId="61" xfId="0" applyNumberFormat="1" applyFont="1" applyFill="1" applyBorder="1" applyAlignment="1">
      <alignment horizontal="right"/>
    </xf>
    <xf numFmtId="0" fontId="2" fillId="0" borderId="18" xfId="0" applyNumberFormat="1" applyFont="1" applyFill="1" applyBorder="1" applyAlignment="1"/>
    <xf numFmtId="1" fontId="2" fillId="0" borderId="19" xfId="0" applyNumberFormat="1" applyFont="1" applyFill="1" applyBorder="1" applyAlignment="1">
      <alignment horizontal="right"/>
    </xf>
    <xf numFmtId="4" fontId="2" fillId="0" borderId="43" xfId="0" applyNumberFormat="1" applyFont="1" applyFill="1" applyBorder="1" applyAlignment="1">
      <alignment horizontal="right"/>
    </xf>
    <xf numFmtId="164" fontId="2" fillId="0" borderId="70" xfId="0" applyNumberFormat="1" applyFont="1" applyFill="1" applyBorder="1" applyAlignment="1">
      <alignment horizontal="right"/>
    </xf>
    <xf numFmtId="0" fontId="1" fillId="0" borderId="1" xfId="0" applyFont="1" applyFill="1" applyBorder="1" applyAlignment="1"/>
    <xf numFmtId="0" fontId="2" fillId="0" borderId="2" xfId="0" applyFont="1" applyFill="1" applyBorder="1" applyAlignment="1">
      <alignment horizontal="right"/>
    </xf>
    <xf numFmtId="0" fontId="1" fillId="0" borderId="29" xfId="0" applyNumberFormat="1" applyFont="1" applyFill="1" applyBorder="1" applyAlignment="1"/>
    <xf numFmtId="1" fontId="1" fillId="0" borderId="3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4" fontId="2" fillId="0" borderId="0" xfId="0" applyNumberFormat="1" applyFont="1" applyFill="1" applyAlignment="1">
      <alignment horizontal="right"/>
    </xf>
    <xf numFmtId="164" fontId="2" fillId="0" borderId="3" xfId="0" applyNumberFormat="1" applyFont="1" applyFill="1" applyBorder="1" applyAlignment="1">
      <alignment horizontal="right" wrapText="1"/>
    </xf>
    <xf numFmtId="1" fontId="2" fillId="0" borderId="1" xfId="0" applyNumberFormat="1" applyFont="1" applyFill="1" applyBorder="1" applyAlignment="1">
      <alignment horizontal="right"/>
    </xf>
    <xf numFmtId="1" fontId="1" fillId="0" borderId="1" xfId="0" applyNumberFormat="1" applyFont="1" applyFill="1" applyBorder="1" applyAlignment="1">
      <alignment horizontal="right"/>
    </xf>
    <xf numFmtId="4" fontId="1" fillId="0" borderId="20" xfId="0" applyNumberFormat="1" applyFont="1" applyFill="1" applyBorder="1" applyAlignment="1">
      <alignment horizontal="right"/>
    </xf>
    <xf numFmtId="164" fontId="1" fillId="0" borderId="41" xfId="0" applyNumberFormat="1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 horizontal="right"/>
    </xf>
    <xf numFmtId="4" fontId="2" fillId="0" borderId="11" xfId="0" applyNumberFormat="1" applyFont="1" applyFill="1" applyBorder="1" applyAlignment="1">
      <alignment horizontal="right"/>
    </xf>
    <xf numFmtId="4" fontId="2" fillId="0" borderId="1" xfId="0" applyNumberFormat="1" applyFont="1" applyFill="1" applyBorder="1" applyAlignment="1">
      <alignment horizontal="right"/>
    </xf>
    <xf numFmtId="1" fontId="2" fillId="0" borderId="11" xfId="0" applyNumberFormat="1" applyFont="1" applyFill="1" applyBorder="1" applyAlignment="1">
      <alignment horizontal="right"/>
    </xf>
    <xf numFmtId="4" fontId="2" fillId="0" borderId="26" xfId="0" applyNumberFormat="1" applyFont="1" applyFill="1" applyBorder="1" applyAlignment="1">
      <alignment horizontal="right"/>
    </xf>
    <xf numFmtId="165" fontId="1" fillId="0" borderId="1" xfId="0" applyNumberFormat="1" applyFont="1" applyFill="1" applyBorder="1" applyAlignment="1">
      <alignment horizontal="right"/>
    </xf>
    <xf numFmtId="4" fontId="1" fillId="0" borderId="18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/>
    <xf numFmtId="165" fontId="2" fillId="0" borderId="0" xfId="0" applyNumberFormat="1" applyFont="1" applyFill="1" applyBorder="1" applyAlignment="1">
      <alignment horizontal="right"/>
    </xf>
    <xf numFmtId="0" fontId="1" fillId="0" borderId="2" xfId="0" applyFont="1" applyFill="1" applyBorder="1" applyAlignment="1"/>
    <xf numFmtId="0" fontId="1" fillId="0" borderId="1" xfId="0" applyFont="1" applyFill="1" applyBorder="1" applyAlignment="1">
      <alignment horizontal="right"/>
    </xf>
    <xf numFmtId="164" fontId="1" fillId="0" borderId="70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right"/>
    </xf>
    <xf numFmtId="0" fontId="2" fillId="0" borderId="2" xfId="0" applyNumberFormat="1" applyFont="1" applyFill="1" applyBorder="1" applyAlignment="1"/>
    <xf numFmtId="0" fontId="2" fillId="0" borderId="1" xfId="0" applyFont="1" applyFill="1" applyBorder="1" applyAlignment="1"/>
    <xf numFmtId="4" fontId="2" fillId="0" borderId="9" xfId="0" applyNumberFormat="1" applyFont="1" applyFill="1" applyBorder="1" applyAlignment="1">
      <alignment horizontal="right"/>
    </xf>
    <xf numFmtId="0" fontId="2" fillId="0" borderId="51" xfId="0" applyNumberFormat="1" applyFont="1" applyFill="1" applyBorder="1" applyAlignment="1"/>
    <xf numFmtId="4" fontId="2" fillId="0" borderId="18" xfId="0" applyNumberFormat="1" applyFont="1" applyFill="1" applyBorder="1" applyAlignment="1">
      <alignment horizontal="right"/>
    </xf>
    <xf numFmtId="0" fontId="2" fillId="0" borderId="33" xfId="0" applyNumberFormat="1" applyFont="1" applyFill="1" applyBorder="1" applyAlignment="1"/>
    <xf numFmtId="0" fontId="2" fillId="0" borderId="34" xfId="0" applyNumberFormat="1" applyFont="1" applyFill="1" applyBorder="1" applyAlignment="1">
      <alignment horizontal="right"/>
    </xf>
    <xf numFmtId="164" fontId="2" fillId="0" borderId="35" xfId="0" applyNumberFormat="1" applyFont="1" applyFill="1" applyBorder="1" applyAlignment="1">
      <alignment horizontal="right"/>
    </xf>
    <xf numFmtId="0" fontId="2" fillId="0" borderId="36" xfId="0" applyNumberFormat="1" applyFont="1" applyFill="1" applyBorder="1" applyAlignment="1"/>
    <xf numFmtId="0" fontId="2" fillId="0" borderId="18" xfId="0" applyFont="1" applyFill="1" applyBorder="1" applyAlignment="1">
      <alignment horizontal="right"/>
    </xf>
    <xf numFmtId="0" fontId="2" fillId="0" borderId="34" xfId="0" applyNumberFormat="1" applyFont="1" applyFill="1" applyBorder="1" applyAlignment="1"/>
    <xf numFmtId="0" fontId="2" fillId="0" borderId="36" xfId="0" applyNumberFormat="1" applyFont="1" applyFill="1" applyBorder="1" applyAlignment="1">
      <alignment horizontal="right"/>
    </xf>
    <xf numFmtId="164" fontId="2" fillId="0" borderId="2" xfId="0" applyNumberFormat="1" applyFont="1" applyFill="1" applyBorder="1" applyAlignment="1">
      <alignment horizontal="right"/>
    </xf>
    <xf numFmtId="164" fontId="2" fillId="0" borderId="79" xfId="0" applyNumberFormat="1" applyFont="1" applyFill="1" applyBorder="1" applyAlignment="1">
      <alignment horizontal="right"/>
    </xf>
    <xf numFmtId="0" fontId="1" fillId="0" borderId="1" xfId="0" applyNumberFormat="1" applyFont="1" applyFill="1" applyBorder="1" applyAlignment="1">
      <alignment horizontal="right"/>
    </xf>
    <xf numFmtId="164" fontId="2" fillId="0" borderId="19" xfId="0" applyNumberFormat="1" applyFont="1" applyFill="1" applyBorder="1" applyAlignment="1">
      <alignment horizontal="right"/>
    </xf>
    <xf numFmtId="0" fontId="2" fillId="0" borderId="37" xfId="0" applyNumberFormat="1" applyFont="1" applyFill="1" applyBorder="1" applyAlignment="1">
      <alignment horizontal="right"/>
    </xf>
    <xf numFmtId="4" fontId="2" fillId="0" borderId="4" xfId="0" applyNumberFormat="1" applyFont="1" applyFill="1" applyBorder="1" applyAlignment="1">
      <alignment horizontal="right"/>
    </xf>
    <xf numFmtId="164" fontId="1" fillId="0" borderId="30" xfId="0" applyNumberFormat="1" applyFont="1" applyFill="1" applyBorder="1" applyAlignment="1">
      <alignment horizontal="right"/>
    </xf>
    <xf numFmtId="4" fontId="1" fillId="0" borderId="0" xfId="0" applyNumberFormat="1" applyFont="1" applyFill="1" applyAlignment="1">
      <alignment horizontal="right"/>
    </xf>
    <xf numFmtId="164" fontId="2" fillId="0" borderId="12" xfId="0" applyNumberFormat="1" applyFont="1" applyFill="1" applyBorder="1" applyAlignment="1">
      <alignment horizontal="right"/>
    </xf>
    <xf numFmtId="3" fontId="2" fillId="0" borderId="1" xfId="0" applyNumberFormat="1" applyFont="1" applyFill="1" applyBorder="1" applyAlignment="1"/>
    <xf numFmtId="165" fontId="2" fillId="0" borderId="1" xfId="0" applyNumberFormat="1" applyFont="1" applyFill="1" applyBorder="1" applyAlignment="1">
      <alignment horizontal="right"/>
    </xf>
    <xf numFmtId="0" fontId="1" fillId="0" borderId="19" xfId="0" applyNumberFormat="1" applyFont="1" applyFill="1" applyBorder="1" applyAlignment="1"/>
    <xf numFmtId="4" fontId="1" fillId="0" borderId="9" xfId="0" applyNumberFormat="1" applyFont="1" applyFill="1" applyBorder="1" applyAlignment="1">
      <alignment horizontal="right"/>
    </xf>
    <xf numFmtId="164" fontId="1" fillId="0" borderId="56" xfId="0" applyNumberFormat="1" applyFont="1" applyFill="1" applyBorder="1" applyAlignment="1">
      <alignment horizontal="right"/>
    </xf>
    <xf numFmtId="0" fontId="1" fillId="0" borderId="19" xfId="0" applyNumberFormat="1" applyFont="1" applyFill="1" applyBorder="1" applyAlignment="1">
      <alignment horizontal="right"/>
    </xf>
    <xf numFmtId="0" fontId="2" fillId="0" borderId="0" xfId="0" applyFont="1" applyFill="1" applyBorder="1" applyAlignment="1"/>
    <xf numFmtId="4" fontId="2" fillId="0" borderId="0" xfId="0" applyNumberFormat="1" applyFont="1" applyFill="1" applyBorder="1" applyAlignment="1">
      <alignment horizontal="right"/>
    </xf>
    <xf numFmtId="0" fontId="31" fillId="0" borderId="0" xfId="0" applyFont="1" applyFill="1" applyAlignment="1">
      <alignment vertical="center"/>
    </xf>
    <xf numFmtId="0" fontId="32" fillId="0" borderId="0" xfId="0" applyFont="1" applyFill="1" applyAlignment="1">
      <alignment vertical="center"/>
    </xf>
    <xf numFmtId="0" fontId="32" fillId="0" borderId="0" xfId="0" applyFont="1" applyFill="1" applyAlignment="1">
      <alignment horizontal="center" vertical="center"/>
    </xf>
    <xf numFmtId="0" fontId="13" fillId="0" borderId="12" xfId="0" applyFont="1" applyFill="1" applyBorder="1" applyAlignment="1">
      <alignment vertical="center"/>
    </xf>
    <xf numFmtId="0" fontId="5" fillId="0" borderId="49" xfId="0" applyFont="1" applyFill="1" applyBorder="1" applyAlignment="1">
      <alignment vertical="center"/>
    </xf>
    <xf numFmtId="0" fontId="5" fillId="0" borderId="50" xfId="0" applyFont="1" applyFill="1" applyBorder="1" applyAlignment="1">
      <alignment vertical="center"/>
    </xf>
    <xf numFmtId="0" fontId="13" fillId="0" borderId="10" xfId="0" applyFont="1" applyFill="1" applyBorder="1" applyAlignment="1">
      <alignment vertical="center"/>
    </xf>
    <xf numFmtId="0" fontId="13" fillId="0" borderId="43" xfId="0" applyFont="1" applyFill="1" applyBorder="1" applyAlignment="1">
      <alignment vertical="center"/>
    </xf>
    <xf numFmtId="164" fontId="7" fillId="0" borderId="43" xfId="0" applyNumberFormat="1" applyFont="1" applyFill="1" applyBorder="1" applyAlignment="1">
      <alignment vertical="center"/>
    </xf>
    <xf numFmtId="164" fontId="13" fillId="0" borderId="40" xfId="0" applyNumberFormat="1" applyFont="1" applyFill="1" applyBorder="1" applyAlignment="1">
      <alignment vertical="center"/>
    </xf>
    <xf numFmtId="164" fontId="2" fillId="0" borderId="0" xfId="0" applyNumberFormat="1" applyFont="1" applyFill="1" applyAlignment="1">
      <alignment horizontal="right" vertical="center"/>
    </xf>
    <xf numFmtId="0" fontId="16" fillId="0" borderId="0" xfId="0" applyFont="1" applyAlignment="1">
      <alignment vertical="center"/>
    </xf>
    <xf numFmtId="0" fontId="13" fillId="0" borderId="51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46" xfId="0" applyFont="1" applyFill="1" applyBorder="1" applyAlignment="1">
      <alignment vertical="center"/>
    </xf>
    <xf numFmtId="0" fontId="13" fillId="3" borderId="52" xfId="0" applyFont="1" applyFill="1" applyBorder="1" applyAlignment="1">
      <alignment vertical="center"/>
    </xf>
    <xf numFmtId="0" fontId="13" fillId="3" borderId="10" xfId="0" applyFont="1" applyFill="1" applyBorder="1" applyAlignment="1">
      <alignment vertical="center"/>
    </xf>
    <xf numFmtId="0" fontId="7" fillId="0" borderId="45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10" fontId="7" fillId="0" borderId="45" xfId="0" applyNumberFormat="1" applyFont="1" applyFill="1" applyBorder="1" applyAlignment="1">
      <alignment vertical="center"/>
    </xf>
    <xf numFmtId="164" fontId="13" fillId="0" borderId="0" xfId="0" applyNumberFormat="1" applyFont="1" applyFill="1" applyBorder="1" applyAlignment="1">
      <alignment vertical="center"/>
    </xf>
    <xf numFmtId="0" fontId="13" fillId="3" borderId="20" xfId="0" applyFont="1" applyFill="1" applyBorder="1" applyAlignment="1">
      <alignment vertical="center"/>
    </xf>
    <xf numFmtId="164" fontId="13" fillId="0" borderId="39" xfId="0" applyNumberFormat="1" applyFont="1" applyFill="1" applyBorder="1" applyAlignment="1">
      <alignment vertical="center"/>
    </xf>
    <xf numFmtId="164" fontId="13" fillId="0" borderId="47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right" vertical="center"/>
    </xf>
    <xf numFmtId="164" fontId="5" fillId="0" borderId="41" xfId="0" applyNumberFormat="1" applyFont="1" applyFill="1" applyBorder="1" applyAlignment="1">
      <alignment horizontal="right" vertical="center"/>
    </xf>
    <xf numFmtId="164" fontId="13" fillId="0" borderId="0" xfId="0" applyNumberFormat="1" applyFont="1" applyFill="1" applyBorder="1" applyAlignment="1">
      <alignment horizontal="center" vertical="center"/>
    </xf>
    <xf numFmtId="164" fontId="17" fillId="0" borderId="0" xfId="1" applyNumberFormat="1" applyFont="1" applyFill="1" applyBorder="1" applyAlignment="1">
      <alignment horizontal="right" vertical="center"/>
    </xf>
    <xf numFmtId="164" fontId="18" fillId="0" borderId="0" xfId="0" applyNumberFormat="1" applyFont="1" applyFill="1" applyBorder="1" applyAlignment="1">
      <alignment vertical="center"/>
    </xf>
    <xf numFmtId="164" fontId="18" fillId="0" borderId="0" xfId="0" applyNumberFormat="1" applyFont="1" applyFill="1" applyBorder="1" applyAlignment="1">
      <alignment horizontal="center" vertical="center"/>
    </xf>
    <xf numFmtId="10" fontId="7" fillId="0" borderId="39" xfId="0" applyNumberFormat="1" applyFont="1" applyFill="1" applyBorder="1" applyAlignment="1">
      <alignment vertical="center"/>
    </xf>
    <xf numFmtId="164" fontId="13" fillId="0" borderId="15" xfId="0" applyNumberFormat="1" applyFont="1" applyFill="1" applyBorder="1" applyAlignment="1">
      <alignment vertical="center"/>
    </xf>
    <xf numFmtId="164" fontId="17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30" fillId="8" borderId="51" xfId="0" applyFont="1" applyFill="1" applyBorder="1" applyAlignment="1">
      <alignment vertical="center"/>
    </xf>
    <xf numFmtId="10" fontId="7" fillId="0" borderId="51" xfId="0" applyNumberFormat="1" applyFont="1" applyFill="1" applyBorder="1" applyAlignment="1">
      <alignment vertical="center"/>
    </xf>
    <xf numFmtId="164" fontId="13" fillId="0" borderId="0" xfId="0" applyNumberFormat="1" applyFont="1" applyFill="1" applyAlignment="1">
      <alignment vertical="center"/>
    </xf>
    <xf numFmtId="10" fontId="7" fillId="0" borderId="0" xfId="0" applyNumberFormat="1" applyFont="1" applyFill="1" applyAlignment="1">
      <alignment vertical="center"/>
    </xf>
    <xf numFmtId="4" fontId="13" fillId="0" borderId="0" xfId="0" applyNumberFormat="1" applyFont="1" applyFill="1" applyAlignment="1">
      <alignment vertical="center"/>
    </xf>
    <xf numFmtId="10" fontId="13" fillId="0" borderId="0" xfId="0" applyNumberFormat="1" applyFont="1" applyFill="1" applyAlignment="1">
      <alignment vertical="center"/>
    </xf>
    <xf numFmtId="0" fontId="19" fillId="0" borderId="0" xfId="0" applyFont="1" applyFill="1" applyBorder="1" applyAlignment="1">
      <alignment vertical="center"/>
    </xf>
    <xf numFmtId="4" fontId="13" fillId="0" borderId="22" xfId="0" applyNumberFormat="1" applyFont="1" applyFill="1" applyBorder="1" applyAlignment="1">
      <alignment vertical="center"/>
    </xf>
    <xf numFmtId="10" fontId="13" fillId="0" borderId="22" xfId="0" applyNumberFormat="1" applyFont="1" applyFill="1" applyBorder="1" applyAlignment="1">
      <alignment vertical="center"/>
    </xf>
    <xf numFmtId="10" fontId="13" fillId="0" borderId="0" xfId="0" applyNumberFormat="1" applyFont="1" applyFill="1" applyBorder="1" applyAlignment="1">
      <alignment vertical="center"/>
    </xf>
    <xf numFmtId="0" fontId="5" fillId="0" borderId="51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right" vertical="center"/>
    </xf>
    <xf numFmtId="164" fontId="27" fillId="0" borderId="0" xfId="0" applyNumberFormat="1" applyFont="1" applyFill="1" applyBorder="1" applyAlignment="1">
      <alignment horizontal="right" vertical="center"/>
    </xf>
    <xf numFmtId="4" fontId="5" fillId="2" borderId="0" xfId="0" applyNumberFormat="1" applyFont="1" applyFill="1" applyBorder="1" applyAlignment="1">
      <alignment horizontal="left" vertical="center"/>
    </xf>
    <xf numFmtId="164" fontId="5" fillId="0" borderId="0" xfId="0" applyNumberFormat="1" applyFont="1" applyFill="1" applyBorder="1" applyAlignment="1">
      <alignment vertical="center"/>
    </xf>
    <xf numFmtId="0" fontId="12" fillId="0" borderId="0" xfId="0" applyFont="1" applyAlignment="1">
      <alignment vertical="center"/>
    </xf>
    <xf numFmtId="164" fontId="2" fillId="0" borderId="1" xfId="0" applyNumberFormat="1" applyFont="1" applyFill="1" applyBorder="1" applyAlignment="1">
      <alignment horizontal="right" vertical="center"/>
    </xf>
    <xf numFmtId="3" fontId="5" fillId="2" borderId="0" xfId="0" applyNumberFormat="1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10" fontId="20" fillId="0" borderId="0" xfId="0" applyNumberFormat="1" applyFont="1" applyFill="1" applyBorder="1" applyAlignment="1">
      <alignment vertical="center"/>
    </xf>
    <xf numFmtId="164" fontId="5" fillId="0" borderId="0" xfId="0" applyNumberFormat="1" applyFont="1" applyFill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164" fontId="2" fillId="6" borderId="1" xfId="0" applyNumberFormat="1" applyFont="1" applyFill="1" applyBorder="1" applyAlignment="1">
      <alignment horizontal="right" vertical="center"/>
    </xf>
    <xf numFmtId="164" fontId="2" fillId="0" borderId="0" xfId="0" applyNumberFormat="1" applyFont="1" applyBorder="1" applyAlignment="1">
      <alignment horizontal="right" vertical="center"/>
    </xf>
    <xf numFmtId="0" fontId="5" fillId="0" borderId="0" xfId="0" applyNumberFormat="1" applyFont="1" applyFill="1" applyBorder="1" applyAlignment="1">
      <alignment horizontal="left" vertical="center"/>
    </xf>
    <xf numFmtId="164" fontId="1" fillId="0" borderId="87" xfId="0" applyNumberFormat="1" applyFont="1" applyFill="1" applyBorder="1" applyAlignment="1">
      <alignment horizontal="right"/>
    </xf>
    <xf numFmtId="164" fontId="1" fillId="0" borderId="0" xfId="0" applyNumberFormat="1" applyFont="1" applyFill="1" applyBorder="1" applyAlignment="1">
      <alignment horizontal="right"/>
    </xf>
    <xf numFmtId="164" fontId="1" fillId="0" borderId="89" xfId="0" applyNumberFormat="1" applyFont="1" applyFill="1" applyBorder="1" applyAlignment="1"/>
    <xf numFmtId="164" fontId="1" fillId="0" borderId="90" xfId="0" applyNumberFormat="1" applyFont="1" applyFill="1" applyBorder="1" applyAlignment="1"/>
    <xf numFmtId="164" fontId="1" fillId="0" borderId="61" xfId="0" applyNumberFormat="1" applyFont="1" applyFill="1" applyBorder="1" applyAlignment="1">
      <alignment horizontal="right"/>
    </xf>
    <xf numFmtId="4" fontId="1" fillId="0" borderId="88" xfId="0" applyNumberFormat="1" applyFont="1" applyFill="1" applyBorder="1" applyAlignment="1">
      <alignment horizontal="right"/>
    </xf>
    <xf numFmtId="164" fontId="1" fillId="0" borderId="88" xfId="0" applyNumberFormat="1" applyFont="1" applyFill="1" applyBorder="1" applyAlignment="1">
      <alignment horizontal="right"/>
    </xf>
    <xf numFmtId="1" fontId="2" fillId="0" borderId="18" xfId="0" applyNumberFormat="1" applyFont="1" applyFill="1" applyBorder="1" applyAlignment="1">
      <alignment horizontal="right"/>
    </xf>
    <xf numFmtId="164" fontId="2" fillId="0" borderId="41" xfId="0" applyNumberFormat="1" applyFont="1" applyFill="1" applyBorder="1" applyAlignment="1"/>
    <xf numFmtId="0" fontId="1" fillId="0" borderId="63" xfId="0" applyNumberFormat="1" applyFont="1" applyFill="1" applyBorder="1" applyAlignment="1"/>
    <xf numFmtId="165" fontId="2" fillId="0" borderId="65" xfId="0" applyNumberFormat="1" applyFont="1" applyFill="1" applyBorder="1" applyAlignment="1">
      <alignment horizontal="center"/>
    </xf>
    <xf numFmtId="164" fontId="2" fillId="0" borderId="65" xfId="0" applyNumberFormat="1" applyFont="1" applyFill="1" applyBorder="1" applyAlignment="1">
      <alignment horizontal="center" wrapText="1"/>
    </xf>
    <xf numFmtId="164" fontId="2" fillId="0" borderId="65" xfId="0" applyNumberFormat="1" applyFont="1" applyFill="1" applyBorder="1" applyAlignment="1"/>
    <xf numFmtId="164" fontId="2" fillId="0" borderId="67" xfId="0" applyNumberFormat="1" applyFont="1" applyFill="1" applyBorder="1" applyAlignment="1">
      <alignment horizontal="center" wrapText="1"/>
    </xf>
    <xf numFmtId="4" fontId="1" fillId="0" borderId="3" xfId="0" applyNumberFormat="1" applyFont="1" applyFill="1" applyBorder="1" applyAlignment="1">
      <alignment horizontal="center"/>
    </xf>
    <xf numFmtId="164" fontId="2" fillId="0" borderId="66" xfId="0" applyNumberFormat="1" applyFont="1" applyFill="1" applyBorder="1" applyAlignment="1">
      <alignment horizontal="center" wrapText="1"/>
    </xf>
    <xf numFmtId="164" fontId="19" fillId="0" borderId="69" xfId="0" applyNumberFormat="1" applyFont="1" applyFill="1" applyBorder="1" applyAlignment="1">
      <alignment horizontal="center" vertical="center"/>
    </xf>
    <xf numFmtId="14" fontId="19" fillId="0" borderId="20" xfId="0" applyNumberFormat="1" applyFont="1" applyFill="1" applyBorder="1" applyAlignment="1">
      <alignment horizontal="center"/>
    </xf>
    <xf numFmtId="164" fontId="1" fillId="0" borderId="3" xfId="0" applyNumberFormat="1" applyFont="1" applyFill="1" applyBorder="1" applyAlignment="1">
      <alignment horizontal="right"/>
    </xf>
    <xf numFmtId="164" fontId="13" fillId="0" borderId="0" xfId="0" applyNumberFormat="1" applyFont="1"/>
    <xf numFmtId="164" fontId="2" fillId="0" borderId="0" xfId="0" applyNumberFormat="1" applyFont="1" applyFill="1" applyAlignment="1">
      <alignment horizontal="left" vertical="center"/>
    </xf>
    <xf numFmtId="164" fontId="2" fillId="2" borderId="0" xfId="0" applyNumberFormat="1" applyFont="1" applyFill="1" applyAlignment="1">
      <alignment horizontal="right"/>
    </xf>
    <xf numFmtId="0" fontId="2" fillId="0" borderId="0" xfId="0" applyFont="1" applyFill="1"/>
    <xf numFmtId="164" fontId="7" fillId="5" borderId="4" xfId="0" applyNumberFormat="1" applyFont="1" applyFill="1" applyBorder="1"/>
    <xf numFmtId="0" fontId="32" fillId="0" borderId="0" xfId="0" applyFont="1"/>
    <xf numFmtId="164" fontId="32" fillId="0" borderId="0" xfId="0" applyNumberFormat="1" applyFont="1"/>
    <xf numFmtId="0" fontId="32" fillId="0" borderId="43" xfId="0" applyFont="1" applyBorder="1"/>
    <xf numFmtId="0" fontId="32" fillId="0" borderId="40" xfId="0" applyFont="1" applyBorder="1"/>
    <xf numFmtId="0" fontId="32" fillId="0" borderId="44" xfId="0" applyFont="1" applyBorder="1"/>
    <xf numFmtId="0" fontId="32" fillId="0" borderId="45" xfId="0" applyFont="1" applyBorder="1"/>
    <xf numFmtId="0" fontId="32" fillId="0" borderId="0" xfId="0" applyFont="1" applyBorder="1"/>
    <xf numFmtId="0" fontId="32" fillId="0" borderId="46" xfId="0" applyFont="1" applyBorder="1"/>
    <xf numFmtId="164" fontId="32" fillId="0" borderId="0" xfId="0" applyNumberFormat="1" applyFont="1" applyBorder="1"/>
    <xf numFmtId="164" fontId="32" fillId="0" borderId="46" xfId="0" applyNumberFormat="1" applyFont="1" applyBorder="1"/>
    <xf numFmtId="164" fontId="32" fillId="0" borderId="45" xfId="0" applyNumberFormat="1" applyFont="1" applyBorder="1"/>
    <xf numFmtId="164" fontId="32" fillId="0" borderId="22" xfId="0" applyNumberFormat="1" applyFont="1" applyBorder="1"/>
    <xf numFmtId="164" fontId="32" fillId="0" borderId="73" xfId="0" applyNumberFormat="1" applyFont="1" applyBorder="1"/>
    <xf numFmtId="0" fontId="32" fillId="0" borderId="39" xfId="0" applyFont="1" applyBorder="1"/>
    <xf numFmtId="164" fontId="32" fillId="0" borderId="15" xfId="0" applyNumberFormat="1" applyFont="1" applyBorder="1"/>
    <xf numFmtId="164" fontId="32" fillId="0" borderId="47" xfId="0" applyNumberFormat="1" applyFont="1" applyBorder="1"/>
    <xf numFmtId="164" fontId="32" fillId="0" borderId="39" xfId="0" applyNumberFormat="1" applyFont="1" applyBorder="1"/>
    <xf numFmtId="164" fontId="32" fillId="4" borderId="15" xfId="0" applyNumberFormat="1" applyFont="1" applyFill="1" applyBorder="1"/>
    <xf numFmtId="164" fontId="32" fillId="0" borderId="40" xfId="0" applyNumberFormat="1" applyFont="1" applyBorder="1"/>
    <xf numFmtId="164" fontId="32" fillId="0" borderId="40" xfId="0" applyNumberFormat="1" applyFont="1" applyBorder="1" applyAlignment="1">
      <alignment horizontal="center"/>
    </xf>
    <xf numFmtId="164" fontId="32" fillId="0" borderId="44" xfId="0" applyNumberFormat="1" applyFont="1" applyBorder="1"/>
    <xf numFmtId="164" fontId="32" fillId="0" borderId="43" xfId="0" applyNumberFormat="1" applyFont="1" applyBorder="1" applyAlignment="1">
      <alignment horizontal="center"/>
    </xf>
    <xf numFmtId="3" fontId="32" fillId="0" borderId="15" xfId="0" applyNumberFormat="1" applyFont="1" applyBorder="1"/>
    <xf numFmtId="166" fontId="32" fillId="0" borderId="0" xfId="0" applyNumberFormat="1" applyFont="1"/>
    <xf numFmtId="0" fontId="32" fillId="0" borderId="12" xfId="0" applyFont="1" applyBorder="1" applyAlignment="1">
      <alignment horizontal="center"/>
    </xf>
    <xf numFmtId="166" fontId="32" fillId="0" borderId="49" xfId="0" applyNumberFormat="1" applyFont="1" applyBorder="1"/>
    <xf numFmtId="164" fontId="32" fillId="0" borderId="49" xfId="0" applyNumberFormat="1" applyFont="1" applyBorder="1"/>
    <xf numFmtId="164" fontId="32" fillId="0" borderId="85" xfId="0" applyNumberFormat="1" applyFont="1" applyBorder="1"/>
    <xf numFmtId="0" fontId="32" fillId="0" borderId="51" xfId="0" applyFont="1" applyBorder="1" applyAlignment="1">
      <alignment horizontal="center"/>
    </xf>
    <xf numFmtId="166" fontId="32" fillId="0" borderId="4" xfId="0" applyNumberFormat="1" applyFont="1" applyBorder="1"/>
    <xf numFmtId="166" fontId="32" fillId="0" borderId="0" xfId="0" applyNumberFormat="1" applyFont="1" applyBorder="1"/>
    <xf numFmtId="164" fontId="32" fillId="0" borderId="35" xfId="0" applyNumberFormat="1" applyFont="1" applyBorder="1"/>
    <xf numFmtId="166" fontId="36" fillId="0" borderId="0" xfId="0" applyNumberFormat="1" applyFont="1" applyBorder="1"/>
    <xf numFmtId="0" fontId="32" fillId="0" borderId="19" xfId="0" applyFont="1" applyBorder="1" applyAlignment="1">
      <alignment horizontal="center"/>
    </xf>
    <xf numFmtId="164" fontId="32" fillId="0" borderId="4" xfId="0" applyNumberFormat="1" applyFont="1" applyBorder="1"/>
    <xf numFmtId="164" fontId="32" fillId="0" borderId="41" xfId="0" applyNumberFormat="1" applyFont="1" applyBorder="1"/>
    <xf numFmtId="0" fontId="32" fillId="0" borderId="0" xfId="0" applyFont="1" applyAlignment="1">
      <alignment horizontal="center"/>
    </xf>
    <xf numFmtId="0" fontId="32" fillId="0" borderId="35" xfId="0" applyFont="1" applyBorder="1"/>
    <xf numFmtId="166" fontId="31" fillId="0" borderId="0" xfId="0" applyNumberFormat="1" applyFont="1"/>
    <xf numFmtId="164" fontId="32" fillId="0" borderId="12" xfId="0" applyNumberFormat="1" applyFont="1" applyBorder="1"/>
    <xf numFmtId="164" fontId="32" fillId="0" borderId="51" xfId="0" applyNumberFormat="1" applyFont="1" applyBorder="1"/>
    <xf numFmtId="164" fontId="32" fillId="0" borderId="19" xfId="0" applyNumberFormat="1" applyFont="1" applyBorder="1"/>
    <xf numFmtId="0" fontId="32" fillId="0" borderId="51" xfId="0" applyFont="1" applyBorder="1"/>
    <xf numFmtId="0" fontId="32" fillId="0" borderId="51" xfId="0" applyNumberFormat="1" applyFont="1" applyBorder="1"/>
    <xf numFmtId="0" fontId="32" fillId="0" borderId="0" xfId="0" applyNumberFormat="1" applyFont="1" applyBorder="1"/>
    <xf numFmtId="0" fontId="31" fillId="0" borderId="0" xfId="0" applyFont="1"/>
    <xf numFmtId="166" fontId="31" fillId="0" borderId="12" xfId="0" applyNumberFormat="1" applyFont="1" applyBorder="1" applyAlignment="1">
      <alignment horizontal="center"/>
    </xf>
    <xf numFmtId="166" fontId="31" fillId="0" borderId="49" xfId="0" applyNumberFormat="1" applyFont="1" applyBorder="1" applyAlignment="1">
      <alignment horizontal="center"/>
    </xf>
    <xf numFmtId="166" fontId="31" fillId="0" borderId="85" xfId="0" applyNumberFormat="1" applyFont="1" applyBorder="1" applyAlignment="1">
      <alignment horizontal="center" wrapText="1"/>
    </xf>
    <xf numFmtId="166" fontId="31" fillId="0" borderId="0" xfId="0" applyNumberFormat="1" applyFont="1" applyAlignment="1">
      <alignment horizontal="right"/>
    </xf>
    <xf numFmtId="4" fontId="31" fillId="0" borderId="51" xfId="0" applyNumberFormat="1" applyFont="1" applyBorder="1" applyAlignment="1">
      <alignment horizontal="center"/>
    </xf>
    <xf numFmtId="4" fontId="31" fillId="0" borderId="0" xfId="0" applyNumberFormat="1" applyFont="1" applyBorder="1" applyAlignment="1">
      <alignment horizontal="center"/>
    </xf>
    <xf numFmtId="4" fontId="31" fillId="0" borderId="35" xfId="0" applyNumberFormat="1" applyFont="1" applyBorder="1" applyAlignment="1">
      <alignment horizontal="center" wrapText="1"/>
    </xf>
    <xf numFmtId="166" fontId="31" fillId="0" borderId="51" xfId="0" applyNumberFormat="1" applyFont="1" applyBorder="1"/>
    <xf numFmtId="166" fontId="31" fillId="0" borderId="0" xfId="0" applyNumberFormat="1" applyFont="1" applyBorder="1"/>
    <xf numFmtId="166" fontId="31" fillId="0" borderId="35" xfId="0" applyNumberFormat="1" applyFont="1" applyBorder="1"/>
    <xf numFmtId="174" fontId="38" fillId="0" borderId="0" xfId="0" applyNumberFormat="1" applyFont="1" applyAlignment="1">
      <alignment horizontal="left"/>
    </xf>
    <xf numFmtId="166" fontId="38" fillId="0" borderId="0" xfId="0" applyNumberFormat="1" applyFont="1"/>
    <xf numFmtId="174" fontId="39" fillId="0" borderId="0" xfId="0" applyNumberFormat="1" applyFont="1" applyAlignment="1">
      <alignment horizontal="left"/>
    </xf>
    <xf numFmtId="174" fontId="39" fillId="0" borderId="0" xfId="0" applyNumberFormat="1" applyFont="1"/>
    <xf numFmtId="4" fontId="0" fillId="0" borderId="43" xfId="0" applyNumberFormat="1" applyFont="1" applyFill="1" applyBorder="1" applyAlignment="1">
      <alignment horizontal="right"/>
    </xf>
    <xf numFmtId="4" fontId="0" fillId="0" borderId="40" xfId="0" applyNumberFormat="1" applyFont="1" applyFill="1" applyBorder="1" applyAlignment="1">
      <alignment horizontal="right"/>
    </xf>
    <xf numFmtId="4" fontId="0" fillId="0" borderId="44" xfId="0" applyNumberFormat="1" applyFont="1" applyFill="1" applyBorder="1" applyAlignment="1">
      <alignment horizontal="right"/>
    </xf>
    <xf numFmtId="0" fontId="21" fillId="0" borderId="0" xfId="0" applyFont="1" applyFill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0" fillId="0" borderId="44" xfId="0" applyFont="1" applyFill="1" applyBorder="1" applyAlignment="1">
      <alignment horizontal="center"/>
    </xf>
    <xf numFmtId="0" fontId="0" fillId="0" borderId="48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11" fillId="0" borderId="43" xfId="0" applyFont="1" applyFill="1" applyBorder="1" applyAlignment="1">
      <alignment horizontal="center"/>
    </xf>
    <xf numFmtId="0" fontId="11" fillId="0" borderId="40" xfId="0" applyFont="1" applyFill="1" applyBorder="1" applyAlignment="1">
      <alignment horizontal="center"/>
    </xf>
    <xf numFmtId="0" fontId="11" fillId="0" borderId="44" xfId="0" applyFont="1" applyFill="1" applyBorder="1" applyAlignment="1">
      <alignment horizontal="center"/>
    </xf>
    <xf numFmtId="164" fontId="13" fillId="0" borderId="45" xfId="0" applyNumberFormat="1" applyFont="1" applyFill="1" applyBorder="1" applyAlignment="1">
      <alignment horizontal="center" vertical="center"/>
    </xf>
    <xf numFmtId="164" fontId="13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45" xfId="0" applyFont="1" applyFill="1" applyBorder="1" applyAlignment="1">
      <alignment horizontal="center" vertical="center"/>
    </xf>
    <xf numFmtId="0" fontId="13" fillId="0" borderId="46" xfId="0" applyFont="1" applyFill="1" applyBorder="1" applyAlignment="1">
      <alignment horizontal="center" vertical="center"/>
    </xf>
    <xf numFmtId="164" fontId="13" fillId="0" borderId="39" xfId="0" applyNumberFormat="1" applyFont="1" applyFill="1" applyBorder="1" applyAlignment="1">
      <alignment horizontal="center" vertical="center"/>
    </xf>
    <xf numFmtId="164" fontId="13" fillId="0" borderId="47" xfId="0" applyNumberFormat="1" applyFont="1" applyFill="1" applyBorder="1" applyAlignment="1">
      <alignment horizontal="center" vertical="center"/>
    </xf>
    <xf numFmtId="0" fontId="13" fillId="0" borderId="39" xfId="0" applyFont="1" applyFill="1" applyBorder="1" applyAlignment="1">
      <alignment horizontal="center" vertical="center"/>
    </xf>
    <xf numFmtId="0" fontId="13" fillId="0" borderId="47" xfId="0" applyFont="1" applyFill="1" applyBorder="1" applyAlignment="1">
      <alignment horizontal="center" vertical="center"/>
    </xf>
    <xf numFmtId="0" fontId="37" fillId="0" borderId="45" xfId="0" applyFont="1" applyFill="1" applyBorder="1" applyAlignment="1">
      <alignment horizontal="center" vertical="center"/>
    </xf>
    <xf numFmtId="0" fontId="14" fillId="0" borderId="40" xfId="0" applyFont="1" applyFill="1" applyBorder="1" applyAlignment="1">
      <alignment horizontal="center" vertical="center"/>
    </xf>
    <xf numFmtId="0" fontId="14" fillId="0" borderId="44" xfId="0" applyFont="1" applyFill="1" applyBorder="1" applyAlignment="1">
      <alignment horizontal="center" vertical="center"/>
    </xf>
    <xf numFmtId="0" fontId="13" fillId="0" borderId="43" xfId="0" applyFont="1" applyFill="1" applyBorder="1" applyAlignment="1">
      <alignment horizontal="center" vertical="center"/>
    </xf>
    <xf numFmtId="0" fontId="13" fillId="0" borderId="40" xfId="0" applyFont="1" applyFill="1" applyBorder="1" applyAlignment="1">
      <alignment horizontal="center" vertical="center"/>
    </xf>
    <xf numFmtId="0" fontId="13" fillId="0" borderId="44" xfId="0" applyFont="1" applyFill="1" applyBorder="1" applyAlignment="1">
      <alignment horizontal="center" vertical="center"/>
    </xf>
    <xf numFmtId="164" fontId="13" fillId="0" borderId="40" xfId="0" applyNumberFormat="1" applyFont="1" applyFill="1" applyBorder="1" applyAlignment="1">
      <alignment horizontal="center" vertical="center"/>
    </xf>
    <xf numFmtId="164" fontId="13" fillId="0" borderId="44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right"/>
    </xf>
    <xf numFmtId="0" fontId="2" fillId="0" borderId="45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6" borderId="43" xfId="0" applyFont="1" applyFill="1" applyBorder="1" applyAlignment="1">
      <alignment horizontal="center" vertical="center"/>
    </xf>
    <xf numFmtId="0" fontId="2" fillId="6" borderId="40" xfId="0" applyFont="1" applyFill="1" applyBorder="1" applyAlignment="1">
      <alignment horizontal="center" vertical="center"/>
    </xf>
    <xf numFmtId="0" fontId="2" fillId="6" borderId="44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vertical="center"/>
    </xf>
    <xf numFmtId="0" fontId="2" fillId="0" borderId="4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4" borderId="43" xfId="0" applyFont="1" applyFill="1" applyBorder="1" applyAlignment="1">
      <alignment horizontal="center" vertical="center"/>
    </xf>
    <xf numFmtId="0" fontId="2" fillId="4" borderId="40" xfId="0" applyFont="1" applyFill="1" applyBorder="1" applyAlignment="1">
      <alignment horizontal="center" vertical="center"/>
    </xf>
    <xf numFmtId="0" fontId="2" fillId="4" borderId="44" xfId="0" applyFont="1" applyFill="1" applyBorder="1" applyAlignment="1">
      <alignment horizontal="center" vertical="center"/>
    </xf>
    <xf numFmtId="0" fontId="32" fillId="0" borderId="0" xfId="0" applyFont="1" applyAlignment="1">
      <alignment horizontal="left" vertical="top" wrapText="1"/>
    </xf>
    <xf numFmtId="166" fontId="31" fillId="0" borderId="0" xfId="0" applyNumberFormat="1" applyFont="1" applyAlignment="1">
      <alignment horizontal="center" wrapText="1"/>
    </xf>
    <xf numFmtId="0" fontId="32" fillId="0" borderId="0" xfId="0" applyFont="1" applyAlignment="1">
      <alignment horizontal="center"/>
    </xf>
    <xf numFmtId="0" fontId="7" fillId="0" borderId="0" xfId="0" applyFont="1" applyAlignment="1">
      <alignment horizontal="left"/>
    </xf>
  </cellXfs>
  <cellStyles count="2">
    <cellStyle name="Followed Hyperlink" xfId="1" builtinId="9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133"/>
  <sheetViews>
    <sheetView tabSelected="1" view="pageLayout" zoomScaleNormal="100" workbookViewId="0">
      <selection activeCell="H4" sqref="H4"/>
    </sheetView>
  </sheetViews>
  <sheetFormatPr defaultRowHeight="12.75" x14ac:dyDescent="0.2"/>
  <cols>
    <col min="1" max="1" width="49.140625" style="299" customWidth="1"/>
    <col min="2" max="2" width="10.140625" style="330" customWidth="1"/>
    <col min="3" max="3" width="12.85546875" style="256" customWidth="1"/>
    <col min="4" max="4" width="12.42578125" style="299" customWidth="1"/>
    <col min="5" max="5" width="1" style="75" customWidth="1"/>
    <col min="6" max="6" width="12.5703125" style="75" customWidth="1"/>
    <col min="7" max="7" width="12.7109375" style="75" customWidth="1"/>
    <col min="8" max="8" width="10" style="331" customWidth="1"/>
    <col min="9" max="9" width="12.7109375" style="75" customWidth="1"/>
    <col min="10" max="10" width="1" style="75" customWidth="1"/>
    <col min="11" max="11" width="14" style="75" customWidth="1"/>
    <col min="12" max="12" width="17.5703125" style="299" customWidth="1"/>
    <col min="13" max="16384" width="9.140625" style="299"/>
  </cols>
  <sheetData>
    <row r="1" spans="1:12" ht="13.5" thickBot="1" x14ac:dyDescent="0.25">
      <c r="A1" s="233"/>
      <c r="B1" s="65" t="s">
        <v>0</v>
      </c>
      <c r="C1" s="63" t="s">
        <v>1</v>
      </c>
      <c r="D1" s="244" t="s">
        <v>2</v>
      </c>
      <c r="E1" s="234"/>
      <c r="F1" s="3" t="s">
        <v>1</v>
      </c>
      <c r="G1" s="66" t="s">
        <v>2</v>
      </c>
      <c r="H1" s="90" t="s">
        <v>598</v>
      </c>
      <c r="I1" s="101" t="s">
        <v>206</v>
      </c>
      <c r="J1" s="234"/>
      <c r="K1" s="234" t="s">
        <v>1</v>
      </c>
    </row>
    <row r="2" spans="1:12" ht="13.5" thickBot="1" x14ac:dyDescent="0.25">
      <c r="A2" s="233"/>
      <c r="B2" s="64" t="s">
        <v>4</v>
      </c>
      <c r="C2" s="62" t="s">
        <v>5</v>
      </c>
      <c r="D2" s="295">
        <v>43250</v>
      </c>
      <c r="E2" s="245"/>
      <c r="F2" s="3" t="s">
        <v>6</v>
      </c>
      <c r="G2" s="457" t="s">
        <v>6</v>
      </c>
      <c r="H2" s="90" t="s">
        <v>297</v>
      </c>
      <c r="I2" s="101"/>
      <c r="J2" s="245"/>
      <c r="K2" s="309" t="s">
        <v>294</v>
      </c>
    </row>
    <row r="3" spans="1:12" ht="13.5" thickBot="1" x14ac:dyDescent="0.25">
      <c r="A3" s="233" t="s">
        <v>7</v>
      </c>
      <c r="B3" s="310"/>
      <c r="C3" s="68"/>
      <c r="D3" s="296"/>
      <c r="E3" s="235"/>
      <c r="F3" s="91"/>
      <c r="G3" s="458">
        <v>43551</v>
      </c>
      <c r="H3" s="92" t="s">
        <v>205</v>
      </c>
      <c r="I3" s="67"/>
      <c r="J3" s="311"/>
      <c r="K3" s="235"/>
      <c r="L3" s="256"/>
    </row>
    <row r="4" spans="1:12" ht="13.5" thickBot="1" x14ac:dyDescent="0.25">
      <c r="A4" s="312" t="s">
        <v>8</v>
      </c>
      <c r="B4" s="313" t="s">
        <v>9</v>
      </c>
      <c r="C4" s="70">
        <v>636410.23</v>
      </c>
      <c r="D4" s="208">
        <v>636410.23</v>
      </c>
      <c r="E4" s="76"/>
      <c r="F4" s="71">
        <v>599705.38</v>
      </c>
      <c r="G4" s="100">
        <v>599705.38</v>
      </c>
      <c r="H4" s="314">
        <v>511485.98</v>
      </c>
      <c r="I4" s="71">
        <f>G4-H4</f>
        <v>88219.400000000023</v>
      </c>
      <c r="J4" s="315"/>
      <c r="K4" s="227">
        <v>567233.17000000004</v>
      </c>
      <c r="L4" s="256"/>
    </row>
    <row r="5" spans="1:12" ht="13.5" thickBot="1" x14ac:dyDescent="0.25">
      <c r="A5" s="312" t="s">
        <v>10</v>
      </c>
      <c r="B5" s="313" t="s">
        <v>11</v>
      </c>
      <c r="C5" s="70">
        <v>133613.60999999999</v>
      </c>
      <c r="D5" s="208">
        <v>133613.60999999999</v>
      </c>
      <c r="E5" s="76"/>
      <c r="F5" s="71">
        <v>131940.79999999999</v>
      </c>
      <c r="G5" s="71">
        <v>131940.79999999999</v>
      </c>
      <c r="H5" s="314">
        <v>121412.24</v>
      </c>
      <c r="I5" s="71">
        <f>G5-H5</f>
        <v>10528.559999999983</v>
      </c>
      <c r="J5" s="315"/>
      <c r="K5" s="227">
        <v>124245.21</v>
      </c>
      <c r="L5" s="256"/>
    </row>
    <row r="6" spans="1:12" ht="13.5" thickBot="1" x14ac:dyDescent="0.25">
      <c r="A6" s="312" t="s">
        <v>12</v>
      </c>
      <c r="B6" s="313" t="s">
        <v>13</v>
      </c>
      <c r="C6" s="70">
        <v>5000</v>
      </c>
      <c r="D6" s="208">
        <v>5000</v>
      </c>
      <c r="E6" s="76"/>
      <c r="F6" s="71">
        <v>5000</v>
      </c>
      <c r="G6" s="71">
        <v>5000</v>
      </c>
      <c r="H6" s="314">
        <v>18480.09</v>
      </c>
      <c r="I6" s="71">
        <f>G6-H6</f>
        <v>-13480.09</v>
      </c>
      <c r="J6" s="315"/>
      <c r="K6" s="227">
        <v>7500</v>
      </c>
    </row>
    <row r="7" spans="1:12" ht="13.5" thickBot="1" x14ac:dyDescent="0.25">
      <c r="A7" s="312" t="s">
        <v>14</v>
      </c>
      <c r="B7" s="313" t="s">
        <v>15</v>
      </c>
      <c r="C7" s="72">
        <v>1000</v>
      </c>
      <c r="D7" s="246">
        <v>1000</v>
      </c>
      <c r="E7" s="77"/>
      <c r="F7" s="73">
        <v>200</v>
      </c>
      <c r="G7" s="73">
        <v>200</v>
      </c>
      <c r="H7" s="316">
        <v>304.79000000000002</v>
      </c>
      <c r="I7" s="73">
        <f>G7-H7</f>
        <v>-104.79000000000002</v>
      </c>
      <c r="J7" s="317"/>
      <c r="K7" s="236">
        <v>1000</v>
      </c>
    </row>
    <row r="8" spans="1:12" ht="14.25" thickTop="1" thickBot="1" x14ac:dyDescent="0.25">
      <c r="A8" s="318" t="s">
        <v>16</v>
      </c>
      <c r="B8" s="319"/>
      <c r="C8" s="97">
        <f>SUM(C4:C7)</f>
        <v>776023.84</v>
      </c>
      <c r="D8" s="247">
        <f>SUM(D4:D7)</f>
        <v>776023.84</v>
      </c>
      <c r="E8" s="248"/>
      <c r="F8" s="69">
        <f>SUM(F4:F7)</f>
        <v>736846.17999999993</v>
      </c>
      <c r="G8" s="69">
        <f>SUM(G4:G7)</f>
        <v>736846.17999999993</v>
      </c>
      <c r="H8" s="320">
        <f>SUM(H4:H7)</f>
        <v>651683.1</v>
      </c>
      <c r="I8" s="249">
        <f>SUM(I4:I7)</f>
        <v>85163.080000000016</v>
      </c>
      <c r="J8" s="321"/>
      <c r="K8" s="321">
        <f>SUM(K4:K7)</f>
        <v>699978.38</v>
      </c>
    </row>
    <row r="9" spans="1:12" ht="13.5" thickBot="1" x14ac:dyDescent="0.25">
      <c r="A9" s="312"/>
      <c r="B9" s="313"/>
      <c r="C9" s="95"/>
      <c r="D9" s="250"/>
      <c r="E9" s="237"/>
      <c r="F9" s="69"/>
      <c r="G9" s="69"/>
      <c r="H9" s="314"/>
      <c r="I9" s="80"/>
      <c r="J9" s="237"/>
      <c r="K9" s="237"/>
    </row>
    <row r="10" spans="1:12" ht="13.5" thickBot="1" x14ac:dyDescent="0.25">
      <c r="A10" s="322" t="s">
        <v>17</v>
      </c>
      <c r="B10" s="323" t="s">
        <v>18</v>
      </c>
      <c r="C10" s="70">
        <v>25000</v>
      </c>
      <c r="D10" s="208">
        <v>25000</v>
      </c>
      <c r="E10" s="76"/>
      <c r="F10" s="69">
        <v>30000</v>
      </c>
      <c r="G10" s="69">
        <v>30000</v>
      </c>
      <c r="H10" s="314">
        <v>24560.37</v>
      </c>
      <c r="I10" s="71">
        <f>G10-H10</f>
        <v>5439.630000000001</v>
      </c>
      <c r="J10" s="315"/>
      <c r="K10" s="227">
        <v>30000</v>
      </c>
    </row>
    <row r="11" spans="1:12" ht="13.5" thickBot="1" x14ac:dyDescent="0.25">
      <c r="A11" s="312" t="s">
        <v>364</v>
      </c>
      <c r="B11" s="313" t="s">
        <v>19</v>
      </c>
      <c r="C11" s="70">
        <v>74000</v>
      </c>
      <c r="D11" s="208">
        <v>74000</v>
      </c>
      <c r="E11" s="76"/>
      <c r="F11" s="71">
        <v>89206</v>
      </c>
      <c r="G11" s="71">
        <v>89206</v>
      </c>
      <c r="H11" s="314">
        <v>47824.34</v>
      </c>
      <c r="I11" s="71">
        <f>G11-H11</f>
        <v>41381.660000000003</v>
      </c>
      <c r="J11" s="315"/>
      <c r="K11" s="227">
        <v>101106</v>
      </c>
    </row>
    <row r="12" spans="1:12" ht="13.5" thickBot="1" x14ac:dyDescent="0.25">
      <c r="A12" s="312" t="s">
        <v>346</v>
      </c>
      <c r="B12" s="313" t="s">
        <v>20</v>
      </c>
      <c r="C12" s="70">
        <v>1000</v>
      </c>
      <c r="D12" s="208">
        <v>1000</v>
      </c>
      <c r="E12" s="76"/>
      <c r="F12" s="71">
        <v>5000</v>
      </c>
      <c r="G12" s="71">
        <v>5000</v>
      </c>
      <c r="H12" s="314">
        <v>1788.37</v>
      </c>
      <c r="I12" s="71">
        <f>G12-H12</f>
        <v>3211.63</v>
      </c>
      <c r="J12" s="315"/>
      <c r="K12" s="227">
        <v>8750.3700000000008</v>
      </c>
    </row>
    <row r="13" spans="1:12" ht="13.5" thickBot="1" x14ac:dyDescent="0.25">
      <c r="A13" s="312" t="s">
        <v>21</v>
      </c>
      <c r="B13" s="313" t="s">
        <v>22</v>
      </c>
      <c r="C13" s="70">
        <v>700</v>
      </c>
      <c r="D13" s="208">
        <v>700</v>
      </c>
      <c r="E13" s="76"/>
      <c r="F13" s="71">
        <v>960</v>
      </c>
      <c r="G13" s="71">
        <v>960</v>
      </c>
      <c r="H13" s="314">
        <v>902.49</v>
      </c>
      <c r="I13" s="71">
        <f t="shared" ref="I13:I18" si="0">G12-H13</f>
        <v>4097.51</v>
      </c>
      <c r="J13" s="315"/>
      <c r="K13" s="227">
        <v>1000</v>
      </c>
    </row>
    <row r="14" spans="1:12" ht="13.5" thickBot="1" x14ac:dyDescent="0.25">
      <c r="A14" s="312" t="s">
        <v>23</v>
      </c>
      <c r="B14" s="313" t="s">
        <v>24</v>
      </c>
      <c r="C14" s="70">
        <v>110</v>
      </c>
      <c r="D14" s="208">
        <v>110</v>
      </c>
      <c r="E14" s="76"/>
      <c r="F14" s="71">
        <v>100</v>
      </c>
      <c r="G14" s="71">
        <v>100</v>
      </c>
      <c r="H14" s="314">
        <v>182.9</v>
      </c>
      <c r="I14" s="71">
        <f t="shared" si="0"/>
        <v>777.1</v>
      </c>
      <c r="J14" s="315"/>
      <c r="K14" s="227">
        <v>100</v>
      </c>
    </row>
    <row r="15" spans="1:12" ht="13.5" thickBot="1" x14ac:dyDescent="0.25">
      <c r="A15" s="312" t="s">
        <v>25</v>
      </c>
      <c r="B15" s="313" t="s">
        <v>26</v>
      </c>
      <c r="C15" s="70">
        <v>350</v>
      </c>
      <c r="D15" s="208">
        <v>350</v>
      </c>
      <c r="E15" s="76"/>
      <c r="F15" s="71">
        <v>1500</v>
      </c>
      <c r="G15" s="71">
        <v>1500</v>
      </c>
      <c r="H15" s="314">
        <v>0</v>
      </c>
      <c r="I15" s="71">
        <f t="shared" si="0"/>
        <v>100</v>
      </c>
      <c r="J15" s="315"/>
      <c r="K15" s="227">
        <v>100</v>
      </c>
    </row>
    <row r="16" spans="1:12" ht="13.5" thickBot="1" x14ac:dyDescent="0.25">
      <c r="A16" s="312" t="s">
        <v>27</v>
      </c>
      <c r="B16" s="313" t="s">
        <v>28</v>
      </c>
      <c r="C16" s="70">
        <v>4800</v>
      </c>
      <c r="D16" s="208">
        <v>4800</v>
      </c>
      <c r="E16" s="76"/>
      <c r="F16" s="71">
        <v>4800</v>
      </c>
      <c r="G16" s="71">
        <v>4800</v>
      </c>
      <c r="H16" s="314">
        <v>2400</v>
      </c>
      <c r="I16" s="71">
        <f t="shared" si="0"/>
        <v>-900</v>
      </c>
      <c r="J16" s="315"/>
      <c r="K16" s="227">
        <v>4800</v>
      </c>
    </row>
    <row r="17" spans="1:12" ht="13.5" thickBot="1" x14ac:dyDescent="0.25">
      <c r="A17" s="312" t="s">
        <v>296</v>
      </c>
      <c r="B17" s="313" t="s">
        <v>208</v>
      </c>
      <c r="C17" s="70"/>
      <c r="D17" s="208"/>
      <c r="E17" s="76"/>
      <c r="F17" s="71"/>
      <c r="G17" s="71"/>
      <c r="H17" s="314">
        <v>16187.5</v>
      </c>
      <c r="I17" s="71">
        <f t="shared" si="0"/>
        <v>-11387.5</v>
      </c>
      <c r="J17" s="315"/>
      <c r="K17" s="227">
        <v>2500</v>
      </c>
    </row>
    <row r="18" spans="1:12" ht="13.5" thickBot="1" x14ac:dyDescent="0.25">
      <c r="A18" s="312" t="s">
        <v>366</v>
      </c>
      <c r="B18" s="313" t="s">
        <v>29</v>
      </c>
      <c r="C18" s="70">
        <v>18500</v>
      </c>
      <c r="D18" s="208">
        <v>18500</v>
      </c>
      <c r="E18" s="76"/>
      <c r="F18" s="71">
        <v>9435.6200000000008</v>
      </c>
      <c r="G18" s="71">
        <v>9435.6200000000008</v>
      </c>
      <c r="H18" s="314">
        <v>12169.37</v>
      </c>
      <c r="I18" s="71">
        <f t="shared" si="0"/>
        <v>-12169.37</v>
      </c>
      <c r="J18" s="315"/>
      <c r="K18" s="227">
        <v>1000</v>
      </c>
    </row>
    <row r="19" spans="1:12" ht="13.5" thickBot="1" x14ac:dyDescent="0.25">
      <c r="A19" s="312" t="s">
        <v>575</v>
      </c>
      <c r="B19" s="313" t="s">
        <v>367</v>
      </c>
      <c r="C19" s="70"/>
      <c r="D19" s="208"/>
      <c r="E19" s="76"/>
      <c r="F19" s="71"/>
      <c r="G19" s="71"/>
      <c r="H19" s="314"/>
      <c r="I19" s="71"/>
      <c r="J19" s="315"/>
      <c r="K19" s="227">
        <v>29000</v>
      </c>
    </row>
    <row r="20" spans="1:12" ht="13.5" thickBot="1" x14ac:dyDescent="0.25">
      <c r="A20" s="312" t="s">
        <v>576</v>
      </c>
      <c r="B20" s="313" t="s">
        <v>30</v>
      </c>
      <c r="C20" s="70">
        <v>20000</v>
      </c>
      <c r="D20" s="208">
        <v>20000</v>
      </c>
      <c r="E20" s="76"/>
      <c r="F20" s="71">
        <v>15000</v>
      </c>
      <c r="G20" s="71">
        <v>15000</v>
      </c>
      <c r="H20" s="314">
        <f>7939.37+861.28</f>
        <v>8800.65</v>
      </c>
      <c r="I20" s="71">
        <f>G19-H20</f>
        <v>-8800.65</v>
      </c>
      <c r="J20" s="315"/>
      <c r="K20" s="227">
        <v>15500</v>
      </c>
    </row>
    <row r="21" spans="1:12" ht="13.5" thickBot="1" x14ac:dyDescent="0.25">
      <c r="A21" s="312" t="s">
        <v>32</v>
      </c>
      <c r="B21" s="313" t="s">
        <v>31</v>
      </c>
      <c r="C21" s="70">
        <v>50</v>
      </c>
      <c r="D21" s="251">
        <v>50</v>
      </c>
      <c r="E21" s="76"/>
      <c r="F21" s="71">
        <v>0</v>
      </c>
      <c r="G21" s="71">
        <v>0</v>
      </c>
      <c r="H21" s="324">
        <v>9.15</v>
      </c>
      <c r="I21" s="102">
        <f>G20-H21</f>
        <v>14990.85</v>
      </c>
      <c r="J21" s="315"/>
      <c r="K21" s="227">
        <v>20</v>
      </c>
    </row>
    <row r="22" spans="1:12" ht="13.5" thickBot="1" x14ac:dyDescent="0.25">
      <c r="A22" s="318" t="s">
        <v>33</v>
      </c>
      <c r="B22" s="319" t="s">
        <v>34</v>
      </c>
      <c r="C22" s="70">
        <f>255703+500</f>
        <v>256203</v>
      </c>
      <c r="D22" s="252">
        <f>729422+500</f>
        <v>729922</v>
      </c>
      <c r="E22" s="227"/>
      <c r="F22" s="71">
        <v>400000</v>
      </c>
      <c r="G22" s="71">
        <v>895476</v>
      </c>
      <c r="H22" s="314">
        <v>0</v>
      </c>
      <c r="I22" s="71">
        <f>G21-H22</f>
        <v>0</v>
      </c>
      <c r="J22" s="325"/>
      <c r="K22" s="80">
        <v>550000</v>
      </c>
    </row>
    <row r="23" spans="1:12" ht="13.5" thickBot="1" x14ac:dyDescent="0.25">
      <c r="A23" s="318" t="s">
        <v>35</v>
      </c>
      <c r="B23" s="313" t="s">
        <v>36</v>
      </c>
      <c r="C23" s="70">
        <v>150000</v>
      </c>
      <c r="D23" s="253">
        <v>150000</v>
      </c>
      <c r="E23" s="227"/>
      <c r="F23" s="71">
        <v>150000</v>
      </c>
      <c r="G23" s="71">
        <v>150000</v>
      </c>
      <c r="H23" s="320">
        <v>0</v>
      </c>
      <c r="I23" s="69">
        <f>G22-H23</f>
        <v>895476</v>
      </c>
      <c r="J23" s="325"/>
      <c r="K23" s="227">
        <v>150000</v>
      </c>
    </row>
    <row r="24" spans="1:12" ht="14.25" thickTop="1" thickBot="1" x14ac:dyDescent="0.25">
      <c r="A24" s="326" t="s">
        <v>37</v>
      </c>
      <c r="B24" s="327"/>
      <c r="C24" s="254">
        <f>SUM(C10:C23)</f>
        <v>550713</v>
      </c>
      <c r="D24" s="297">
        <f>SUM(D10:D23)</f>
        <v>1024432</v>
      </c>
      <c r="E24" s="255"/>
      <c r="F24" s="96">
        <f>SUM(F10:F23)</f>
        <v>706001.62</v>
      </c>
      <c r="G24" s="96">
        <f>SUM(G10:G23)</f>
        <v>1201477.6200000001</v>
      </c>
      <c r="H24" s="316">
        <f>SUM(H10:H23)</f>
        <v>114825.13999999997</v>
      </c>
      <c r="I24" s="103">
        <f>G24-H24</f>
        <v>1086652.4800000002</v>
      </c>
      <c r="J24" s="255"/>
      <c r="K24" s="255">
        <f>SUM(K10:K23)</f>
        <v>893876.37</v>
      </c>
    </row>
    <row r="25" spans="1:12" ht="14.25" thickTop="1" thickBot="1" x14ac:dyDescent="0.25">
      <c r="A25" s="328" t="s">
        <v>38</v>
      </c>
      <c r="B25" s="329"/>
      <c r="C25" s="443">
        <f>C24+C8</f>
        <v>1326736.8399999999</v>
      </c>
      <c r="D25" s="444">
        <f>D8+D24</f>
        <v>1800455.8399999999</v>
      </c>
      <c r="E25" s="445"/>
      <c r="F25" s="441">
        <f>F24+F8</f>
        <v>1442847.7999999998</v>
      </c>
      <c r="G25" s="447">
        <f>SUM(G24,G8)</f>
        <v>1938323.8</v>
      </c>
      <c r="H25" s="446">
        <f>H24+H8</f>
        <v>766508.24</v>
      </c>
      <c r="I25" s="447">
        <f>SUM(I24,I8)</f>
        <v>1171815.5600000003</v>
      </c>
      <c r="J25" s="445"/>
      <c r="K25" s="445">
        <f>K8+K24</f>
        <v>1593854.75</v>
      </c>
      <c r="L25" s="256"/>
    </row>
    <row r="26" spans="1:12" ht="13.5" thickBot="1" x14ac:dyDescent="0.25">
      <c r="C26" s="98"/>
      <c r="D26" s="98"/>
      <c r="E26" s="80"/>
      <c r="F26" s="80"/>
      <c r="G26" s="442"/>
      <c r="H26" s="378"/>
      <c r="I26" s="80"/>
      <c r="J26" s="80"/>
      <c r="K26" s="80"/>
    </row>
    <row r="27" spans="1:12" ht="13.5" thickBot="1" x14ac:dyDescent="0.25">
      <c r="A27" s="450" t="s">
        <v>39</v>
      </c>
      <c r="B27" s="451"/>
      <c r="C27" s="452"/>
      <c r="D27" s="453"/>
      <c r="E27" s="454"/>
      <c r="F27" s="71"/>
      <c r="G27" s="71"/>
      <c r="H27" s="455" t="s">
        <v>298</v>
      </c>
      <c r="I27" s="67" t="s">
        <v>299</v>
      </c>
      <c r="J27" s="456"/>
      <c r="K27" s="332"/>
    </row>
    <row r="28" spans="1:12" ht="13.5" thickBot="1" x14ac:dyDescent="0.25">
      <c r="A28" s="322" t="s">
        <v>40</v>
      </c>
      <c r="B28" s="448" t="s">
        <v>41</v>
      </c>
      <c r="C28" s="85">
        <v>87717.759999999995</v>
      </c>
      <c r="D28" s="85">
        <v>87717.759999999995</v>
      </c>
      <c r="E28" s="85"/>
      <c r="F28" s="69">
        <v>90349.29</v>
      </c>
      <c r="G28" s="69">
        <v>90349.29</v>
      </c>
      <c r="H28" s="320">
        <v>43412.04</v>
      </c>
      <c r="I28" s="69">
        <f>G28-H28</f>
        <v>46937.249999999993</v>
      </c>
      <c r="J28" s="449"/>
      <c r="K28" s="80">
        <f>G28*3%+G28</f>
        <v>93059.768699999986</v>
      </c>
    </row>
    <row r="29" spans="1:12" ht="13.5" thickBot="1" x14ac:dyDescent="0.25">
      <c r="A29" s="312" t="s">
        <v>42</v>
      </c>
      <c r="B29" s="333" t="s">
        <v>43</v>
      </c>
      <c r="C29" s="76">
        <v>32448</v>
      </c>
      <c r="D29" s="76">
        <v>32448</v>
      </c>
      <c r="E29" s="76"/>
      <c r="F29" s="71">
        <v>33421.440000000002</v>
      </c>
      <c r="G29" s="71">
        <v>33421.440000000002</v>
      </c>
      <c r="H29" s="314">
        <v>16060.02</v>
      </c>
      <c r="I29" s="71">
        <f t="shared" ref="I29:I36" si="1">G29-H29</f>
        <v>17361.420000000002</v>
      </c>
      <c r="J29" s="315"/>
      <c r="K29" s="80">
        <f>G29*3.5%+G29</f>
        <v>34591.190399999999</v>
      </c>
    </row>
    <row r="30" spans="1:12" ht="13.5" thickBot="1" x14ac:dyDescent="0.25">
      <c r="A30" s="312" t="s">
        <v>44</v>
      </c>
      <c r="B30" s="333" t="s">
        <v>45</v>
      </c>
      <c r="C30" s="76">
        <v>1000</v>
      </c>
      <c r="D30" s="76">
        <v>1000</v>
      </c>
      <c r="E30" s="76"/>
      <c r="F30" s="71">
        <v>1000</v>
      </c>
      <c r="G30" s="71">
        <v>1000</v>
      </c>
      <c r="H30" s="314">
        <v>0</v>
      </c>
      <c r="I30" s="71">
        <f t="shared" si="1"/>
        <v>1000</v>
      </c>
      <c r="J30" s="315"/>
      <c r="K30" s="227">
        <v>1000</v>
      </c>
    </row>
    <row r="31" spans="1:12" ht="13.5" thickBot="1" x14ac:dyDescent="0.25">
      <c r="A31" s="312" t="s">
        <v>46</v>
      </c>
      <c r="B31" s="333" t="s">
        <v>47</v>
      </c>
      <c r="C31" s="76">
        <v>9269.18</v>
      </c>
      <c r="D31" s="76">
        <v>9269.18</v>
      </c>
      <c r="E31" s="76"/>
      <c r="F31" s="71">
        <v>9544.9599999999991</v>
      </c>
      <c r="G31" s="71">
        <v>9544.9599999999991</v>
      </c>
      <c r="H31" s="314">
        <v>4687.09</v>
      </c>
      <c r="I31" s="71">
        <f t="shared" si="1"/>
        <v>4857.869999999999</v>
      </c>
      <c r="J31" s="315"/>
      <c r="K31" s="227">
        <f>(K28+K29+K30)*7.65%</f>
        <v>9841.7983711499983</v>
      </c>
    </row>
    <row r="32" spans="1:12" ht="13.5" thickBot="1" x14ac:dyDescent="0.25">
      <c r="A32" s="312" t="s">
        <v>300</v>
      </c>
      <c r="B32" s="333" t="s">
        <v>48</v>
      </c>
      <c r="C32" s="76">
        <v>13909.83</v>
      </c>
      <c r="D32" s="76">
        <v>13909.83</v>
      </c>
      <c r="E32" s="76"/>
      <c r="F32" s="71">
        <v>20506.5</v>
      </c>
      <c r="G32" s="71">
        <v>20506.5</v>
      </c>
      <c r="H32" s="314">
        <v>9562.65</v>
      </c>
      <c r="I32" s="71">
        <f t="shared" si="1"/>
        <v>10943.85</v>
      </c>
      <c r="J32" s="315"/>
      <c r="K32" s="227">
        <f>(K28*20.75%)+(K29*8.47%)+(K30*8.47%)</f>
        <v>22324.475832129996</v>
      </c>
    </row>
    <row r="33" spans="1:11" ht="13.5" thickBot="1" x14ac:dyDescent="0.25">
      <c r="A33" s="312" t="s">
        <v>49</v>
      </c>
      <c r="B33" s="333" t="s">
        <v>50</v>
      </c>
      <c r="C33" s="76">
        <f>7905.74*2</f>
        <v>15811.48</v>
      </c>
      <c r="D33" s="76">
        <f>7905.74*2</f>
        <v>15811.48</v>
      </c>
      <c r="E33" s="76"/>
      <c r="F33" s="71">
        <v>15585.61</v>
      </c>
      <c r="G33" s="71">
        <v>15585.61</v>
      </c>
      <c r="H33" s="314">
        <v>7676.04</v>
      </c>
      <c r="I33" s="71">
        <f t="shared" si="1"/>
        <v>7909.5700000000006</v>
      </c>
      <c r="J33" s="315"/>
      <c r="K33" s="227">
        <v>17194.330000000002</v>
      </c>
    </row>
    <row r="34" spans="1:11" ht="13.5" thickBot="1" x14ac:dyDescent="0.25">
      <c r="A34" s="312" t="s">
        <v>51</v>
      </c>
      <c r="B34" s="333" t="s">
        <v>52</v>
      </c>
      <c r="C34" s="76">
        <f>137.4*2</f>
        <v>274.8</v>
      </c>
      <c r="D34" s="76">
        <f>137.4*2</f>
        <v>274.8</v>
      </c>
      <c r="E34" s="76"/>
      <c r="F34" s="71">
        <v>284.42</v>
      </c>
      <c r="G34" s="71">
        <v>284.42</v>
      </c>
      <c r="H34" s="314">
        <v>212.1</v>
      </c>
      <c r="I34" s="71">
        <f t="shared" si="1"/>
        <v>72.320000000000022</v>
      </c>
      <c r="J34" s="315"/>
      <c r="K34" s="227">
        <v>284.42</v>
      </c>
    </row>
    <row r="35" spans="1:11" ht="13.5" thickBot="1" x14ac:dyDescent="0.25">
      <c r="A35" s="312" t="s">
        <v>53</v>
      </c>
      <c r="B35" s="333" t="s">
        <v>54</v>
      </c>
      <c r="C35" s="77">
        <v>2050</v>
      </c>
      <c r="D35" s="77">
        <v>2050</v>
      </c>
      <c r="E35" s="77"/>
      <c r="F35" s="73">
        <v>2533.44</v>
      </c>
      <c r="G35" s="73">
        <v>2533.44</v>
      </c>
      <c r="H35" s="316">
        <v>0</v>
      </c>
      <c r="I35" s="71">
        <f t="shared" si="1"/>
        <v>2533.44</v>
      </c>
      <c r="J35" s="317"/>
      <c r="K35" s="236">
        <f>F35*5%+F35</f>
        <v>2660.1120000000001</v>
      </c>
    </row>
    <row r="36" spans="1:11" ht="14.25" thickTop="1" thickBot="1" x14ac:dyDescent="0.25">
      <c r="A36" s="233" t="s">
        <v>372</v>
      </c>
      <c r="B36" s="334"/>
      <c r="C36" s="78">
        <f>SUM(C28:C35)</f>
        <v>162481.04999999999</v>
      </c>
      <c r="D36" s="78">
        <f>SUM(D28:D35)</f>
        <v>162481.04999999999</v>
      </c>
      <c r="E36" s="239"/>
      <c r="F36" s="74">
        <f>SUM(F28:F35)</f>
        <v>173225.66</v>
      </c>
      <c r="G36" s="74">
        <f>SUM(G28:G35)</f>
        <v>173225.66</v>
      </c>
      <c r="H36" s="335">
        <f>SUM(H28:H35)</f>
        <v>81609.939999999988</v>
      </c>
      <c r="I36" s="459">
        <f t="shared" si="1"/>
        <v>91615.720000000016</v>
      </c>
      <c r="J36" s="336"/>
      <c r="K36" s="239">
        <f>SUM(K28:K35)</f>
        <v>180956.09530327999</v>
      </c>
    </row>
    <row r="37" spans="1:11" ht="13.5" thickBot="1" x14ac:dyDescent="0.25">
      <c r="A37" s="312"/>
      <c r="B37" s="333"/>
      <c r="C37" s="76"/>
      <c r="D37" s="76"/>
      <c r="E37" s="227"/>
      <c r="F37" s="104"/>
      <c r="G37" s="104"/>
      <c r="H37" s="337"/>
      <c r="I37" s="102"/>
      <c r="J37" s="325"/>
      <c r="K37" s="227"/>
    </row>
    <row r="38" spans="1:11" ht="13.5" thickBot="1" x14ac:dyDescent="0.25">
      <c r="A38" s="312" t="s">
        <v>55</v>
      </c>
      <c r="B38" s="333" t="s">
        <v>347</v>
      </c>
      <c r="C38" s="76">
        <v>35000</v>
      </c>
      <c r="D38" s="76">
        <v>35000</v>
      </c>
      <c r="E38" s="76"/>
      <c r="F38" s="69">
        <v>35000</v>
      </c>
      <c r="G38" s="259">
        <v>35000</v>
      </c>
      <c r="H38" s="338">
        <v>8582.1</v>
      </c>
      <c r="I38" s="258">
        <f>G38-H38</f>
        <v>26417.9</v>
      </c>
      <c r="J38" s="315"/>
      <c r="K38" s="227">
        <v>35000</v>
      </c>
    </row>
    <row r="39" spans="1:11" ht="13.5" thickBot="1" x14ac:dyDescent="0.25">
      <c r="A39" s="318" t="s">
        <v>56</v>
      </c>
      <c r="B39" s="319" t="s">
        <v>57</v>
      </c>
      <c r="C39" s="79">
        <v>4650</v>
      </c>
      <c r="D39" s="79">
        <v>4650</v>
      </c>
      <c r="E39" s="76"/>
      <c r="F39" s="71">
        <v>4700</v>
      </c>
      <c r="G39" s="100">
        <v>4700</v>
      </c>
      <c r="H39" s="339">
        <v>1500</v>
      </c>
      <c r="I39" s="258">
        <f t="shared" ref="I39:I53" si="2">G39-H39</f>
        <v>3200</v>
      </c>
      <c r="J39" s="76"/>
      <c r="K39" s="227">
        <v>4700</v>
      </c>
    </row>
    <row r="40" spans="1:11" ht="13.5" thickBot="1" x14ac:dyDescent="0.25">
      <c r="A40" s="312" t="s">
        <v>58</v>
      </c>
      <c r="B40" s="333" t="s">
        <v>59</v>
      </c>
      <c r="C40" s="76">
        <v>14000</v>
      </c>
      <c r="D40" s="76">
        <v>14000</v>
      </c>
      <c r="E40" s="76"/>
      <c r="F40" s="71">
        <v>14000</v>
      </c>
      <c r="G40" s="100">
        <v>14000</v>
      </c>
      <c r="H40" s="339">
        <v>6440</v>
      </c>
      <c r="I40" s="258">
        <f t="shared" si="2"/>
        <v>7560</v>
      </c>
      <c r="J40" s="76"/>
      <c r="K40" s="227">
        <v>14000</v>
      </c>
    </row>
    <row r="41" spans="1:11" ht="13.5" thickBot="1" x14ac:dyDescent="0.25">
      <c r="A41" s="312" t="s">
        <v>60</v>
      </c>
      <c r="B41" s="333" t="s">
        <v>61</v>
      </c>
      <c r="C41" s="76">
        <v>28500</v>
      </c>
      <c r="D41" s="76">
        <v>28500</v>
      </c>
      <c r="E41" s="256"/>
      <c r="F41" s="71">
        <v>28500</v>
      </c>
      <c r="G41" s="100">
        <v>28500</v>
      </c>
      <c r="H41" s="339">
        <v>20700</v>
      </c>
      <c r="I41" s="258">
        <f t="shared" si="2"/>
        <v>7800</v>
      </c>
      <c r="J41" s="256"/>
      <c r="K41" s="227">
        <v>28500</v>
      </c>
    </row>
    <row r="42" spans="1:11" ht="13.5" thickBot="1" x14ac:dyDescent="0.25">
      <c r="A42" s="312" t="s">
        <v>62</v>
      </c>
      <c r="B42" s="333" t="s">
        <v>63</v>
      </c>
      <c r="C42" s="76">
        <v>15750</v>
      </c>
      <c r="D42" s="76">
        <v>15750</v>
      </c>
      <c r="E42" s="76"/>
      <c r="F42" s="71">
        <v>16000</v>
      </c>
      <c r="G42" s="100">
        <v>16000</v>
      </c>
      <c r="H42" s="339">
        <v>13692.93</v>
      </c>
      <c r="I42" s="258">
        <f t="shared" si="2"/>
        <v>2307.0699999999997</v>
      </c>
      <c r="J42" s="76"/>
      <c r="K42" s="227">
        <v>17000</v>
      </c>
    </row>
    <row r="43" spans="1:11" ht="13.5" thickBot="1" x14ac:dyDescent="0.25">
      <c r="A43" s="312" t="s">
        <v>577</v>
      </c>
      <c r="B43" s="333" t="s">
        <v>64</v>
      </c>
      <c r="C43" s="76">
        <v>5200</v>
      </c>
      <c r="D43" s="76">
        <v>5200</v>
      </c>
      <c r="E43" s="256"/>
      <c r="F43" s="71">
        <v>5400</v>
      </c>
      <c r="G43" s="100">
        <v>5400</v>
      </c>
      <c r="H43" s="339">
        <v>3656.29</v>
      </c>
      <c r="I43" s="258">
        <f t="shared" si="2"/>
        <v>1743.71</v>
      </c>
      <c r="J43" s="256"/>
      <c r="K43" s="227">
        <v>6750</v>
      </c>
    </row>
    <row r="44" spans="1:11" ht="13.5" thickBot="1" x14ac:dyDescent="0.25">
      <c r="A44" s="312" t="s">
        <v>65</v>
      </c>
      <c r="B44" s="333" t="s">
        <v>66</v>
      </c>
      <c r="C44" s="76">
        <v>1800</v>
      </c>
      <c r="D44" s="76">
        <v>1800</v>
      </c>
      <c r="E44" s="76"/>
      <c r="F44" s="71">
        <v>1200</v>
      </c>
      <c r="G44" s="100">
        <v>1200</v>
      </c>
      <c r="H44" s="339">
        <v>0</v>
      </c>
      <c r="I44" s="258">
        <f t="shared" si="2"/>
        <v>1200</v>
      </c>
      <c r="J44" s="76"/>
      <c r="K44" s="75">
        <v>1200</v>
      </c>
    </row>
    <row r="45" spans="1:11" ht="13.5" thickBot="1" x14ac:dyDescent="0.25">
      <c r="A45" s="312" t="s">
        <v>67</v>
      </c>
      <c r="B45" s="333" t="s">
        <v>68</v>
      </c>
      <c r="C45" s="76">
        <v>2000</v>
      </c>
      <c r="D45" s="76">
        <v>2000</v>
      </c>
      <c r="E45" s="76"/>
      <c r="F45" s="71">
        <v>3120</v>
      </c>
      <c r="G45" s="100">
        <v>3120</v>
      </c>
      <c r="H45" s="339">
        <v>996.42</v>
      </c>
      <c r="I45" s="258">
        <f t="shared" si="2"/>
        <v>2123.58</v>
      </c>
      <c r="J45" s="76"/>
      <c r="K45" s="227">
        <v>3120</v>
      </c>
    </row>
    <row r="46" spans="1:11" ht="13.5" thickBot="1" x14ac:dyDescent="0.25">
      <c r="A46" s="312" t="s">
        <v>69</v>
      </c>
      <c r="B46" s="333" t="s">
        <v>70</v>
      </c>
      <c r="C46" s="76">
        <v>375</v>
      </c>
      <c r="D46" s="76">
        <v>375</v>
      </c>
      <c r="E46" s="76"/>
      <c r="F46" s="71">
        <v>375</v>
      </c>
      <c r="G46" s="100">
        <v>375</v>
      </c>
      <c r="H46" s="339">
        <v>112.41</v>
      </c>
      <c r="I46" s="258">
        <f t="shared" si="2"/>
        <v>262.59000000000003</v>
      </c>
      <c r="J46" s="76"/>
      <c r="K46" s="227">
        <v>375</v>
      </c>
    </row>
    <row r="47" spans="1:11" ht="13.5" thickBot="1" x14ac:dyDescent="0.25">
      <c r="A47" s="312" t="s">
        <v>71</v>
      </c>
      <c r="B47" s="333" t="s">
        <v>72</v>
      </c>
      <c r="C47" s="76">
        <v>1500</v>
      </c>
      <c r="D47" s="76">
        <v>1500</v>
      </c>
      <c r="E47" s="76"/>
      <c r="F47" s="71">
        <v>1500</v>
      </c>
      <c r="G47" s="100">
        <v>1500</v>
      </c>
      <c r="H47" s="339">
        <v>670.2</v>
      </c>
      <c r="I47" s="258">
        <f t="shared" si="2"/>
        <v>829.8</v>
      </c>
      <c r="J47" s="76"/>
      <c r="K47" s="227">
        <v>1500</v>
      </c>
    </row>
    <row r="48" spans="1:11" ht="13.5" thickBot="1" x14ac:dyDescent="0.25">
      <c r="A48" s="312" t="s">
        <v>73</v>
      </c>
      <c r="B48" s="333" t="s">
        <v>74</v>
      </c>
      <c r="C48" s="76">
        <v>1000</v>
      </c>
      <c r="D48" s="76">
        <v>1000</v>
      </c>
      <c r="E48" s="76"/>
      <c r="F48" s="71">
        <v>1000</v>
      </c>
      <c r="G48" s="100">
        <v>1000</v>
      </c>
      <c r="H48" s="339">
        <v>0</v>
      </c>
      <c r="I48" s="258">
        <f t="shared" si="2"/>
        <v>1000</v>
      </c>
      <c r="J48" s="76"/>
      <c r="K48" s="227">
        <v>1000</v>
      </c>
    </row>
    <row r="49" spans="1:11" ht="13.5" thickBot="1" x14ac:dyDescent="0.25">
      <c r="A49" s="312" t="s">
        <v>75</v>
      </c>
      <c r="B49" s="333" t="s">
        <v>76</v>
      </c>
      <c r="C49" s="76">
        <v>8250</v>
      </c>
      <c r="D49" s="76">
        <v>8250</v>
      </c>
      <c r="E49" s="76"/>
      <c r="F49" s="71">
        <v>7239</v>
      </c>
      <c r="G49" s="100">
        <v>7239</v>
      </c>
      <c r="H49" s="339">
        <v>2067.81</v>
      </c>
      <c r="I49" s="258">
        <f t="shared" si="2"/>
        <v>5171.1900000000005</v>
      </c>
      <c r="J49" s="76"/>
      <c r="K49" s="227">
        <v>7200</v>
      </c>
    </row>
    <row r="50" spans="1:11" ht="13.5" thickBot="1" x14ac:dyDescent="0.25">
      <c r="A50" s="312" t="s">
        <v>77</v>
      </c>
      <c r="B50" s="333" t="s">
        <v>78</v>
      </c>
      <c r="C50" s="76">
        <v>4000</v>
      </c>
      <c r="D50" s="76">
        <v>4000</v>
      </c>
      <c r="E50" s="76"/>
      <c r="F50" s="71">
        <v>4000</v>
      </c>
      <c r="G50" s="100">
        <v>4000</v>
      </c>
      <c r="H50" s="339">
        <v>3594.76</v>
      </c>
      <c r="I50" s="258">
        <f t="shared" si="2"/>
        <v>405.23999999999978</v>
      </c>
      <c r="J50" s="76"/>
      <c r="K50" s="227">
        <v>4000</v>
      </c>
    </row>
    <row r="51" spans="1:11" ht="13.5" thickBot="1" x14ac:dyDescent="0.25">
      <c r="A51" s="312" t="s">
        <v>79</v>
      </c>
      <c r="B51" s="333" t="s">
        <v>80</v>
      </c>
      <c r="C51" s="76">
        <v>4199.8900000000003</v>
      </c>
      <c r="D51" s="76">
        <v>4199.8900000000003</v>
      </c>
      <c r="E51" s="76"/>
      <c r="F51" s="71">
        <v>4000</v>
      </c>
      <c r="G51" s="100">
        <v>4000</v>
      </c>
      <c r="H51" s="339">
        <v>822.54</v>
      </c>
      <c r="I51" s="258">
        <f t="shared" si="2"/>
        <v>3177.46</v>
      </c>
      <c r="J51" s="76"/>
      <c r="K51" s="227">
        <v>4000</v>
      </c>
    </row>
    <row r="52" spans="1:11" x14ac:dyDescent="0.2">
      <c r="A52" s="312" t="s">
        <v>81</v>
      </c>
      <c r="B52" s="333" t="s">
        <v>82</v>
      </c>
      <c r="C52" s="76">
        <v>1575</v>
      </c>
      <c r="D52" s="76">
        <v>1575</v>
      </c>
      <c r="E52" s="76"/>
      <c r="F52" s="104">
        <v>1500</v>
      </c>
      <c r="G52" s="269">
        <v>1500</v>
      </c>
      <c r="H52" s="339">
        <v>436.78</v>
      </c>
      <c r="I52" s="270">
        <f t="shared" si="2"/>
        <v>1063.22</v>
      </c>
      <c r="J52" s="76"/>
      <c r="K52" s="227">
        <v>1500</v>
      </c>
    </row>
    <row r="53" spans="1:11" x14ac:dyDescent="0.2">
      <c r="A53" s="318" t="s">
        <v>83</v>
      </c>
      <c r="B53" s="340" t="s">
        <v>84</v>
      </c>
      <c r="C53" s="76">
        <v>2500</v>
      </c>
      <c r="D53" s="76">
        <v>2500</v>
      </c>
      <c r="E53" s="76"/>
      <c r="F53" s="271">
        <v>1000</v>
      </c>
      <c r="G53" s="272">
        <v>1000</v>
      </c>
      <c r="H53" s="339">
        <v>175</v>
      </c>
      <c r="I53" s="273">
        <f t="shared" si="2"/>
        <v>825</v>
      </c>
      <c r="J53" s="76"/>
      <c r="K53" s="227">
        <v>1000</v>
      </c>
    </row>
    <row r="54" spans="1:11" ht="13.5" thickBot="1" x14ac:dyDescent="0.25">
      <c r="A54" s="318" t="s">
        <v>578</v>
      </c>
      <c r="B54" s="340" t="s">
        <v>365</v>
      </c>
      <c r="C54" s="267"/>
      <c r="D54" s="267"/>
      <c r="E54" s="267"/>
      <c r="F54" s="96"/>
      <c r="G54" s="268"/>
      <c r="H54" s="341"/>
      <c r="I54" s="103"/>
      <c r="J54" s="267"/>
      <c r="K54" s="255">
        <v>29000</v>
      </c>
    </row>
    <row r="55" spans="1:11" ht="14.25" thickTop="1" thickBot="1" x14ac:dyDescent="0.25">
      <c r="A55" s="233" t="s">
        <v>85</v>
      </c>
      <c r="B55" s="342"/>
      <c r="C55" s="78">
        <f>SUM(C36:C53)</f>
        <v>292780.94</v>
      </c>
      <c r="D55" s="78">
        <f>SUM(D36:D53)</f>
        <v>292780.94</v>
      </c>
      <c r="E55" s="239"/>
      <c r="F55" s="74">
        <f>SUM(F36:F54)</f>
        <v>301759.66000000003</v>
      </c>
      <c r="G55" s="243">
        <f>SUM(G36:G54)</f>
        <v>301759.66000000003</v>
      </c>
      <c r="H55" s="343">
        <f>SUM(H36:H53)</f>
        <v>145057.18000000005</v>
      </c>
      <c r="I55" s="239">
        <f>SUM(I36:I54)</f>
        <v>156702.47999999998</v>
      </c>
      <c r="J55" s="239"/>
      <c r="K55" s="239">
        <f>SUM(K36:K54)</f>
        <v>340801.09530327999</v>
      </c>
    </row>
    <row r="56" spans="1:11" x14ac:dyDescent="0.2">
      <c r="A56" s="344"/>
      <c r="B56" s="345"/>
      <c r="C56" s="98"/>
      <c r="D56" s="98"/>
      <c r="E56" s="80"/>
      <c r="F56" s="80"/>
      <c r="G56" s="80"/>
      <c r="H56" s="339"/>
      <c r="I56" s="227"/>
      <c r="J56" s="80"/>
      <c r="K56" s="80"/>
    </row>
    <row r="57" spans="1:11" x14ac:dyDescent="0.2">
      <c r="A57" s="346" t="s">
        <v>86</v>
      </c>
      <c r="B57" s="347"/>
      <c r="C57" s="81"/>
      <c r="D57" s="81"/>
      <c r="E57" s="81"/>
      <c r="F57" s="274"/>
      <c r="G57" s="276"/>
      <c r="H57" s="261" t="s">
        <v>298</v>
      </c>
      <c r="I57" s="81" t="s">
        <v>299</v>
      </c>
      <c r="J57" s="348"/>
      <c r="K57" s="349"/>
    </row>
    <row r="58" spans="1:11" x14ac:dyDescent="0.2">
      <c r="A58" s="350" t="s">
        <v>579</v>
      </c>
      <c r="B58" s="82" t="s">
        <v>369</v>
      </c>
      <c r="C58" s="351"/>
      <c r="D58" s="351"/>
      <c r="E58" s="351"/>
      <c r="F58" s="351"/>
      <c r="G58" s="240"/>
      <c r="H58" s="339"/>
      <c r="I58" s="240"/>
      <c r="J58" s="76"/>
      <c r="K58" s="227">
        <v>23704.48</v>
      </c>
    </row>
    <row r="59" spans="1:11" ht="13.5" thickBot="1" x14ac:dyDescent="0.25">
      <c r="A59" s="350" t="s">
        <v>580</v>
      </c>
      <c r="B59" s="83" t="s">
        <v>370</v>
      </c>
      <c r="C59" s="76">
        <v>110000</v>
      </c>
      <c r="D59" s="76">
        <v>110000</v>
      </c>
      <c r="E59" s="76"/>
      <c r="F59" s="275">
        <v>120000</v>
      </c>
      <c r="G59" s="275">
        <v>120000</v>
      </c>
      <c r="H59" s="339">
        <v>66629.960000000006</v>
      </c>
      <c r="I59" s="227">
        <f>G59-H59</f>
        <v>53370.039999999994</v>
      </c>
      <c r="J59" s="76"/>
      <c r="K59" s="227">
        <v>96582.73</v>
      </c>
    </row>
    <row r="60" spans="1:11" ht="13.5" thickBot="1" x14ac:dyDescent="0.25">
      <c r="A60" s="350" t="s">
        <v>368</v>
      </c>
      <c r="B60" s="82" t="s">
        <v>209</v>
      </c>
      <c r="C60" s="76"/>
      <c r="D60" s="76"/>
      <c r="E60" s="76"/>
      <c r="F60" s="298"/>
      <c r="G60" s="298"/>
      <c r="H60" s="339">
        <v>191.26</v>
      </c>
      <c r="I60" s="227">
        <f t="shared" ref="I60" si="3">G60-H60</f>
        <v>-191.26</v>
      </c>
      <c r="J60" s="76"/>
      <c r="K60" s="227">
        <v>6785</v>
      </c>
    </row>
    <row r="61" spans="1:11" ht="13.5" thickBot="1" x14ac:dyDescent="0.25">
      <c r="A61" s="312" t="s">
        <v>371</v>
      </c>
      <c r="B61" s="257" t="s">
        <v>87</v>
      </c>
      <c r="C61" s="77">
        <v>5000</v>
      </c>
      <c r="D61" s="77">
        <v>5000</v>
      </c>
      <c r="E61" s="77"/>
      <c r="F61" s="84">
        <v>5000</v>
      </c>
      <c r="G61" s="84">
        <v>5000</v>
      </c>
      <c r="H61" s="352">
        <v>0</v>
      </c>
      <c r="I61" s="236">
        <v>5000</v>
      </c>
      <c r="J61" s="77"/>
      <c r="K61" s="236">
        <v>3500</v>
      </c>
    </row>
    <row r="62" spans="1:11" ht="13.5" thickTop="1" x14ac:dyDescent="0.2">
      <c r="A62" s="353"/>
      <c r="B62" s="241"/>
      <c r="C62" s="85">
        <f>SUM(C59:C61)</f>
        <v>115000</v>
      </c>
      <c r="D62" s="85">
        <f>SUM(D59:D61)</f>
        <v>115000</v>
      </c>
      <c r="E62" s="85"/>
      <c r="F62" s="265">
        <f>SUM(F59:F61)</f>
        <v>125000</v>
      </c>
      <c r="G62" s="265">
        <f>SUM(G59:G61)</f>
        <v>125000</v>
      </c>
      <c r="H62" s="354">
        <f>SUM(H59:H61)</f>
        <v>66821.22</v>
      </c>
      <c r="I62" s="266">
        <f>SUM(I59:I61)</f>
        <v>58178.779999999992</v>
      </c>
      <c r="J62" s="85"/>
      <c r="K62" s="266">
        <f>SUM(K58:K61)</f>
        <v>130572.20999999999</v>
      </c>
    </row>
    <row r="63" spans="1:11" ht="13.5" thickBot="1" x14ac:dyDescent="0.25">
      <c r="A63" s="353"/>
      <c r="B63" s="242"/>
      <c r="C63" s="85"/>
      <c r="D63" s="85"/>
      <c r="E63" s="85"/>
      <c r="F63" s="80"/>
      <c r="G63" s="80"/>
      <c r="H63" s="354"/>
      <c r="I63" s="266"/>
      <c r="J63" s="85"/>
      <c r="K63" s="266"/>
    </row>
    <row r="64" spans="1:11" ht="13.5" thickBot="1" x14ac:dyDescent="0.25">
      <c r="A64" s="355" t="s">
        <v>88</v>
      </c>
      <c r="B64" s="356" t="s">
        <v>89</v>
      </c>
      <c r="C64" s="76">
        <v>81130.63</v>
      </c>
      <c r="D64" s="76">
        <v>81130.63</v>
      </c>
      <c r="E64" s="76"/>
      <c r="F64" s="71">
        <v>82012.36</v>
      </c>
      <c r="G64" s="100">
        <v>82012.36</v>
      </c>
      <c r="H64" s="339">
        <v>38446.46</v>
      </c>
      <c r="I64" s="227">
        <f>G64-H64</f>
        <v>43565.9</v>
      </c>
      <c r="J64" s="76"/>
      <c r="K64" s="227">
        <f>167064.35*51%</f>
        <v>85202.818500000008</v>
      </c>
    </row>
    <row r="65" spans="1:11" ht="13.5" thickBot="1" x14ac:dyDescent="0.25">
      <c r="A65" s="355" t="s">
        <v>90</v>
      </c>
      <c r="B65" s="356" t="s">
        <v>91</v>
      </c>
      <c r="C65" s="85">
        <v>68404.25</v>
      </c>
      <c r="D65" s="85">
        <v>68404.25</v>
      </c>
      <c r="E65" s="76"/>
      <c r="F65" s="71">
        <v>69147.67</v>
      </c>
      <c r="G65" s="100">
        <v>69147.67</v>
      </c>
      <c r="H65" s="339">
        <v>32414.959999999999</v>
      </c>
      <c r="I65" s="227">
        <f t="shared" ref="I65:I84" si="4">G65-H65</f>
        <v>36732.71</v>
      </c>
      <c r="J65" s="76"/>
      <c r="K65" s="357">
        <f>167064.35*43%</f>
        <v>71837.670500000007</v>
      </c>
    </row>
    <row r="66" spans="1:11" ht="13.5" thickBot="1" x14ac:dyDescent="0.25">
      <c r="A66" s="355" t="s">
        <v>92</v>
      </c>
      <c r="B66" s="356" t="s">
        <v>93</v>
      </c>
      <c r="C66" s="76">
        <v>9544.7800000000007</v>
      </c>
      <c r="D66" s="76">
        <v>9544.7800000000007</v>
      </c>
      <c r="E66" s="76"/>
      <c r="F66" s="71">
        <v>9648.51</v>
      </c>
      <c r="G66" s="100">
        <v>9648.51</v>
      </c>
      <c r="H66" s="339">
        <v>4523.1000000000004</v>
      </c>
      <c r="I66" s="227">
        <f t="shared" si="4"/>
        <v>5125.41</v>
      </c>
      <c r="J66" s="76"/>
      <c r="K66" s="227">
        <f>167064.35*6%</f>
        <v>10023.861000000001</v>
      </c>
    </row>
    <row r="67" spans="1:11" ht="13.5" thickBot="1" x14ac:dyDescent="0.25">
      <c r="A67" s="358" t="s">
        <v>373</v>
      </c>
      <c r="B67" s="359" t="s">
        <v>94</v>
      </c>
      <c r="C67" s="85">
        <v>12750</v>
      </c>
      <c r="D67" s="85">
        <v>12750</v>
      </c>
      <c r="E67" s="76"/>
      <c r="F67" s="71">
        <v>12750</v>
      </c>
      <c r="G67" s="100">
        <v>12750</v>
      </c>
      <c r="H67" s="339">
        <f>7493.73+43</f>
        <v>7536.73</v>
      </c>
      <c r="I67" s="227">
        <f t="shared" si="4"/>
        <v>5213.2700000000004</v>
      </c>
      <c r="J67" s="76"/>
      <c r="K67" s="227">
        <f>25000*51%</f>
        <v>12750</v>
      </c>
    </row>
    <row r="68" spans="1:11" ht="13.5" thickBot="1" x14ac:dyDescent="0.25">
      <c r="A68" s="360" t="s">
        <v>95</v>
      </c>
      <c r="B68" s="361" t="s">
        <v>96</v>
      </c>
      <c r="C68" s="76">
        <v>10750</v>
      </c>
      <c r="D68" s="76">
        <v>10750</v>
      </c>
      <c r="E68" s="76"/>
      <c r="F68" s="71">
        <v>10750</v>
      </c>
      <c r="G68" s="100">
        <v>10750</v>
      </c>
      <c r="H68" s="339">
        <f>6318.24+36.25</f>
        <v>6354.49</v>
      </c>
      <c r="I68" s="227">
        <f t="shared" si="4"/>
        <v>4395.51</v>
      </c>
      <c r="J68" s="76"/>
      <c r="K68" s="227">
        <f>F68</f>
        <v>10750</v>
      </c>
    </row>
    <row r="69" spans="1:11" ht="13.5" thickBot="1" x14ac:dyDescent="0.25">
      <c r="A69" s="360" t="s">
        <v>97</v>
      </c>
      <c r="B69" s="356" t="s">
        <v>98</v>
      </c>
      <c r="C69" s="76">
        <v>1500</v>
      </c>
      <c r="D69" s="76">
        <v>1500</v>
      </c>
      <c r="E69" s="76"/>
      <c r="F69" s="71">
        <v>1500</v>
      </c>
      <c r="G69" s="71">
        <v>1500</v>
      </c>
      <c r="H69" s="331">
        <f>881.62+5.06</f>
        <v>886.68</v>
      </c>
      <c r="I69" s="227">
        <f t="shared" si="4"/>
        <v>613.32000000000005</v>
      </c>
      <c r="J69" s="76"/>
      <c r="K69" s="227">
        <f>F69</f>
        <v>1500</v>
      </c>
    </row>
    <row r="70" spans="1:11" ht="13.5" thickBot="1" x14ac:dyDescent="0.25">
      <c r="A70" s="360" t="s">
        <v>99</v>
      </c>
      <c r="B70" s="240" t="s">
        <v>100</v>
      </c>
      <c r="C70" s="76">
        <v>7181.87</v>
      </c>
      <c r="D70" s="76">
        <v>7181.87</v>
      </c>
      <c r="E70" s="76"/>
      <c r="F70" s="71">
        <v>7249.32</v>
      </c>
      <c r="G70" s="100">
        <v>7249.32</v>
      </c>
      <c r="H70" s="339">
        <v>3532.16</v>
      </c>
      <c r="I70" s="227">
        <f t="shared" si="4"/>
        <v>3717.16</v>
      </c>
      <c r="J70" s="76"/>
      <c r="K70" s="227">
        <f>(K64+K67)*7.65%</f>
        <v>7493.3906152500003</v>
      </c>
    </row>
    <row r="71" spans="1:11" ht="13.5" thickBot="1" x14ac:dyDescent="0.25">
      <c r="A71" s="360" t="s">
        <v>101</v>
      </c>
      <c r="B71" s="361" t="s">
        <v>102</v>
      </c>
      <c r="C71" s="76">
        <v>6055.3</v>
      </c>
      <c r="D71" s="76">
        <v>6055.3</v>
      </c>
      <c r="E71" s="76"/>
      <c r="F71" s="71">
        <v>6112.17</v>
      </c>
      <c r="G71" s="100">
        <v>6112.17</v>
      </c>
      <c r="H71" s="339">
        <v>2978.07</v>
      </c>
      <c r="I71" s="227">
        <f t="shared" si="4"/>
        <v>3134.1</v>
      </c>
      <c r="J71" s="76"/>
      <c r="K71" s="227">
        <f>(K65+K68)*7.65%</f>
        <v>6317.9567932500004</v>
      </c>
    </row>
    <row r="72" spans="1:11" ht="13.5" thickBot="1" x14ac:dyDescent="0.25">
      <c r="A72" s="360" t="s">
        <v>103</v>
      </c>
      <c r="B72" s="356" t="s">
        <v>104</v>
      </c>
      <c r="C72" s="76">
        <v>844.93</v>
      </c>
      <c r="D72" s="76">
        <v>844.93</v>
      </c>
      <c r="E72" s="76"/>
      <c r="F72" s="71">
        <v>852.86</v>
      </c>
      <c r="G72" s="100">
        <v>852.86</v>
      </c>
      <c r="H72" s="339">
        <v>415.54</v>
      </c>
      <c r="I72" s="227">
        <f t="shared" si="4"/>
        <v>437.32</v>
      </c>
      <c r="J72" s="76"/>
      <c r="K72" s="227">
        <f>(K66+K69)*7.65%</f>
        <v>881.57536650000009</v>
      </c>
    </row>
    <row r="73" spans="1:11" ht="13.5" thickBot="1" x14ac:dyDescent="0.25">
      <c r="A73" s="360" t="s">
        <v>348</v>
      </c>
      <c r="B73" s="356" t="s">
        <v>105</v>
      </c>
      <c r="C73" s="76">
        <v>7059.82</v>
      </c>
      <c r="D73" s="76">
        <v>7059.82</v>
      </c>
      <c r="E73" s="76"/>
      <c r="F73" s="71">
        <v>7872.37</v>
      </c>
      <c r="G73" s="100">
        <v>7872.37</v>
      </c>
      <c r="H73" s="339">
        <v>3926</v>
      </c>
      <c r="I73" s="227">
        <f t="shared" si="4"/>
        <v>3946.37</v>
      </c>
      <c r="J73" s="76"/>
      <c r="K73" s="227">
        <f>(K64+K67)*8.47%</f>
        <v>8296.6037269500011</v>
      </c>
    </row>
    <row r="74" spans="1:11" ht="13.5" thickBot="1" x14ac:dyDescent="0.25">
      <c r="A74" s="360" t="s">
        <v>349</v>
      </c>
      <c r="B74" s="356" t="s">
        <v>106</v>
      </c>
      <c r="C74" s="76">
        <v>5952.4</v>
      </c>
      <c r="D74" s="76">
        <v>5952.4</v>
      </c>
      <c r="E74" s="76"/>
      <c r="F74" s="71">
        <v>6599.55</v>
      </c>
      <c r="G74" s="100">
        <v>6599.55</v>
      </c>
      <c r="H74" s="339">
        <v>3310.16</v>
      </c>
      <c r="I74" s="227">
        <f t="shared" si="4"/>
        <v>3289.3900000000003</v>
      </c>
      <c r="J74" s="76"/>
      <c r="K74" s="227">
        <f>(K65+K68)*8.47%</f>
        <v>6995.1756913500012</v>
      </c>
    </row>
    <row r="75" spans="1:11" ht="13.5" thickBot="1" x14ac:dyDescent="0.25">
      <c r="A75" s="360" t="s">
        <v>350</v>
      </c>
      <c r="B75" s="356" t="s">
        <v>107</v>
      </c>
      <c r="C75" s="76">
        <v>830.57</v>
      </c>
      <c r="D75" s="76">
        <v>830.57</v>
      </c>
      <c r="E75" s="76"/>
      <c r="F75" s="71">
        <v>920.87</v>
      </c>
      <c r="G75" s="100">
        <v>920.87</v>
      </c>
      <c r="H75" s="339">
        <v>461.88</v>
      </c>
      <c r="I75" s="227">
        <f t="shared" si="4"/>
        <v>458.99</v>
      </c>
      <c r="J75" s="76"/>
      <c r="K75" s="227">
        <f>(K66+K69)*8.47%</f>
        <v>976.07102670000017</v>
      </c>
    </row>
    <row r="76" spans="1:11" ht="13.5" thickBot="1" x14ac:dyDescent="0.25">
      <c r="A76" s="312" t="s">
        <v>108</v>
      </c>
      <c r="B76" s="241" t="s">
        <v>109</v>
      </c>
      <c r="C76" s="76">
        <v>22204.91</v>
      </c>
      <c r="D76" s="76">
        <v>22204.91</v>
      </c>
      <c r="E76" s="76"/>
      <c r="F76" s="71">
        <f>15897.32+5990.38</f>
        <v>21887.7</v>
      </c>
      <c r="G76" s="100">
        <f>15897.32+5990.38</f>
        <v>21887.7</v>
      </c>
      <c r="H76" s="339">
        <v>7177.12</v>
      </c>
      <c r="I76" s="227">
        <f t="shared" si="4"/>
        <v>14710.580000000002</v>
      </c>
      <c r="J76" s="76"/>
      <c r="K76" s="227">
        <f>47346.9*51%</f>
        <v>24146.919000000002</v>
      </c>
    </row>
    <row r="77" spans="1:11" ht="13.5" thickBot="1" x14ac:dyDescent="0.25">
      <c r="A77" s="312" t="s">
        <v>110</v>
      </c>
      <c r="B77" s="241" t="s">
        <v>111</v>
      </c>
      <c r="C77" s="76">
        <v>18721.78</v>
      </c>
      <c r="D77" s="76">
        <v>18721.78</v>
      </c>
      <c r="E77" s="76"/>
      <c r="F77" s="71">
        <f>13403.62+5050.71</f>
        <v>18454.330000000002</v>
      </c>
      <c r="G77" s="100">
        <f>13403.62+5050.71</f>
        <v>18454.330000000002</v>
      </c>
      <c r="H77" s="339">
        <v>6051.26</v>
      </c>
      <c r="I77" s="227">
        <f t="shared" si="4"/>
        <v>12403.070000000002</v>
      </c>
      <c r="J77" s="76"/>
      <c r="K77" s="227">
        <f>47346.9*43%</f>
        <v>20359.167000000001</v>
      </c>
    </row>
    <row r="78" spans="1:11" ht="13.5" thickBot="1" x14ac:dyDescent="0.25">
      <c r="A78" s="312" t="s">
        <v>112</v>
      </c>
      <c r="B78" s="241" t="s">
        <v>113</v>
      </c>
      <c r="C78" s="76">
        <v>2612.34</v>
      </c>
      <c r="D78" s="76">
        <v>2612.34</v>
      </c>
      <c r="E78" s="76"/>
      <c r="F78" s="71">
        <f>1870.27+704.75</f>
        <v>2575.02</v>
      </c>
      <c r="G78" s="100">
        <f>1870.27+704.75</f>
        <v>2575.02</v>
      </c>
      <c r="H78" s="339">
        <v>844.36</v>
      </c>
      <c r="I78" s="227">
        <f t="shared" si="4"/>
        <v>1730.6599999999999</v>
      </c>
      <c r="J78" s="76"/>
      <c r="K78" s="227">
        <f>47346.9*6%</f>
        <v>2840.8139999999999</v>
      </c>
    </row>
    <row r="79" spans="1:11" ht="13.5" thickBot="1" x14ac:dyDescent="0.25">
      <c r="A79" s="360" t="s">
        <v>114</v>
      </c>
      <c r="B79" s="356" t="s">
        <v>115</v>
      </c>
      <c r="C79" s="76">
        <v>280.3</v>
      </c>
      <c r="D79" s="76">
        <v>280.3</v>
      </c>
      <c r="E79" s="76"/>
      <c r="F79" s="71">
        <v>290.11</v>
      </c>
      <c r="G79" s="100">
        <v>290.11</v>
      </c>
      <c r="H79" s="339">
        <v>0</v>
      </c>
      <c r="I79" s="227">
        <f t="shared" si="4"/>
        <v>290.11</v>
      </c>
      <c r="J79" s="76"/>
      <c r="K79" s="362">
        <f>568.84*51%</f>
        <v>290.10840000000002</v>
      </c>
    </row>
    <row r="80" spans="1:11" ht="13.5" thickBot="1" x14ac:dyDescent="0.25">
      <c r="A80" s="312" t="s">
        <v>116</v>
      </c>
      <c r="B80" s="241" t="s">
        <v>117</v>
      </c>
      <c r="C80" s="76">
        <v>236.33</v>
      </c>
      <c r="D80" s="76">
        <v>236.33</v>
      </c>
      <c r="E80" s="76"/>
      <c r="F80" s="71">
        <v>244.6</v>
      </c>
      <c r="G80" s="100">
        <v>244.6</v>
      </c>
      <c r="H80" s="339">
        <v>0</v>
      </c>
      <c r="I80" s="227">
        <f t="shared" si="4"/>
        <v>244.6</v>
      </c>
      <c r="J80" s="76"/>
      <c r="K80" s="362">
        <f>568.84*43%</f>
        <v>244.60120000000001</v>
      </c>
    </row>
    <row r="81" spans="1:11" ht="13.5" thickBot="1" x14ac:dyDescent="0.25">
      <c r="A81" s="358" t="s">
        <v>118</v>
      </c>
      <c r="B81" s="361" t="s">
        <v>119</v>
      </c>
      <c r="C81" s="76">
        <v>32.979999999999997</v>
      </c>
      <c r="D81" s="76">
        <v>32.979999999999997</v>
      </c>
      <c r="E81" s="76"/>
      <c r="F81" s="71">
        <v>34.130000000000003</v>
      </c>
      <c r="G81" s="100">
        <v>34.130000000000003</v>
      </c>
      <c r="H81" s="339">
        <v>0</v>
      </c>
      <c r="I81" s="227">
        <f t="shared" si="4"/>
        <v>34.130000000000003</v>
      </c>
      <c r="J81" s="76"/>
      <c r="K81" s="362">
        <f>568.84*6%</f>
        <v>34.130400000000002</v>
      </c>
    </row>
    <row r="82" spans="1:11" ht="13.5" thickBot="1" x14ac:dyDescent="0.25">
      <c r="A82" s="312" t="s">
        <v>120</v>
      </c>
      <c r="B82" s="241" t="s">
        <v>121</v>
      </c>
      <c r="C82" s="86">
        <v>7665.72</v>
      </c>
      <c r="D82" s="86">
        <v>7665.72</v>
      </c>
      <c r="E82" s="76"/>
      <c r="F82" s="71">
        <v>9475.07</v>
      </c>
      <c r="G82" s="100">
        <v>9475.07</v>
      </c>
      <c r="H82" s="339">
        <v>3932.1</v>
      </c>
      <c r="I82" s="227">
        <f t="shared" si="4"/>
        <v>5542.9699999999993</v>
      </c>
      <c r="J82" s="76"/>
      <c r="K82" s="362">
        <f>F82*3%+F82</f>
        <v>9759.3220999999994</v>
      </c>
    </row>
    <row r="83" spans="1:11" ht="13.5" thickBot="1" x14ac:dyDescent="0.25">
      <c r="A83" s="312" t="s">
        <v>122</v>
      </c>
      <c r="B83" s="241" t="s">
        <v>123</v>
      </c>
      <c r="C83" s="76">
        <v>6463.25</v>
      </c>
      <c r="D83" s="76">
        <v>6463.25</v>
      </c>
      <c r="E83" s="76"/>
      <c r="F83" s="71">
        <v>7988.78</v>
      </c>
      <c r="G83" s="100">
        <v>7988.78</v>
      </c>
      <c r="H83" s="339">
        <v>3315.3</v>
      </c>
      <c r="I83" s="227">
        <f t="shared" si="4"/>
        <v>4673.4799999999996</v>
      </c>
      <c r="J83" s="76"/>
      <c r="K83" s="362">
        <f t="shared" ref="K83:K84" si="5">F83*3%+F83</f>
        <v>8228.4434000000001</v>
      </c>
    </row>
    <row r="84" spans="1:11" ht="13.5" thickBot="1" x14ac:dyDescent="0.25">
      <c r="A84" s="312" t="s">
        <v>124</v>
      </c>
      <c r="B84" s="241" t="s">
        <v>125</v>
      </c>
      <c r="C84" s="77">
        <v>904.66</v>
      </c>
      <c r="D84" s="77">
        <v>904.66</v>
      </c>
      <c r="E84" s="77"/>
      <c r="F84" s="73">
        <v>1114.72</v>
      </c>
      <c r="G84" s="260">
        <v>1114.72</v>
      </c>
      <c r="H84" s="352">
        <v>462.6</v>
      </c>
      <c r="I84" s="236">
        <f t="shared" si="4"/>
        <v>652.12</v>
      </c>
      <c r="J84" s="77"/>
      <c r="K84" s="363">
        <f t="shared" si="5"/>
        <v>1148.1616000000001</v>
      </c>
    </row>
    <row r="85" spans="1:11" ht="14.25" thickTop="1" thickBot="1" x14ac:dyDescent="0.25">
      <c r="A85" s="233" t="s">
        <v>295</v>
      </c>
      <c r="B85" s="364"/>
      <c r="C85" s="85">
        <f>SUM(C64:C84)</f>
        <v>271126.81999999995</v>
      </c>
      <c r="D85" s="85">
        <f>SUM(D64:D84)</f>
        <v>271126.81999999995</v>
      </c>
      <c r="E85" s="85"/>
      <c r="F85" s="69">
        <f>SUM(F64:F84)</f>
        <v>277480.14</v>
      </c>
      <c r="G85" s="259">
        <f>SUM(G64:G84)</f>
        <v>277480.14</v>
      </c>
      <c r="H85" s="354">
        <f>SUM(H64:H84)</f>
        <v>126568.97000000002</v>
      </c>
      <c r="I85" s="266">
        <f>SUM(I64:I84)</f>
        <v>150911.17000000004</v>
      </c>
      <c r="J85" s="85"/>
      <c r="K85" s="365">
        <f>SUM(K64:K84)</f>
        <v>290076.79032000003</v>
      </c>
    </row>
    <row r="86" spans="1:11" ht="13.5" thickBot="1" x14ac:dyDescent="0.25">
      <c r="A86" s="312"/>
      <c r="B86" s="241"/>
      <c r="C86" s="76"/>
      <c r="D86" s="76"/>
      <c r="E86" s="76"/>
      <c r="F86" s="71"/>
      <c r="G86" s="100"/>
      <c r="H86" s="339"/>
      <c r="I86" s="227"/>
      <c r="J86" s="76"/>
      <c r="K86" s="362"/>
    </row>
    <row r="87" spans="1:11" ht="13.5" thickBot="1" x14ac:dyDescent="0.25">
      <c r="A87" s="312" t="s">
        <v>126</v>
      </c>
      <c r="B87" s="241" t="s">
        <v>127</v>
      </c>
      <c r="C87" s="76">
        <f>10000*51%</f>
        <v>5100</v>
      </c>
      <c r="D87" s="76">
        <f>10000*51%</f>
        <v>5100</v>
      </c>
      <c r="E87" s="76"/>
      <c r="F87" s="71">
        <v>5100</v>
      </c>
      <c r="G87" s="100">
        <v>5100</v>
      </c>
      <c r="H87" s="339">
        <f>357+1019.6</f>
        <v>1376.6</v>
      </c>
      <c r="I87" s="227">
        <f t="shared" ref="I87:I115" si="6">G87-H87</f>
        <v>3723.4</v>
      </c>
      <c r="J87" s="76"/>
      <c r="K87" s="362">
        <v>5100</v>
      </c>
    </row>
    <row r="88" spans="1:11" ht="13.5" thickBot="1" x14ac:dyDescent="0.25">
      <c r="A88" s="312" t="s">
        <v>128</v>
      </c>
      <c r="B88" s="241" t="s">
        <v>129</v>
      </c>
      <c r="C88" s="76">
        <f>10000*43%</f>
        <v>4300</v>
      </c>
      <c r="D88" s="76">
        <f>10000*43%</f>
        <v>4300</v>
      </c>
      <c r="E88" s="76"/>
      <c r="F88" s="71">
        <v>4300</v>
      </c>
      <c r="G88" s="100">
        <v>4300</v>
      </c>
      <c r="H88" s="339">
        <f>1986.6+859.66</f>
        <v>2846.2599999999998</v>
      </c>
      <c r="I88" s="227">
        <f t="shared" si="6"/>
        <v>1453.7400000000002</v>
      </c>
      <c r="J88" s="76"/>
      <c r="K88" s="362">
        <v>4300</v>
      </c>
    </row>
    <row r="89" spans="1:11" ht="13.5" thickBot="1" x14ac:dyDescent="0.25">
      <c r="A89" s="312" t="s">
        <v>130</v>
      </c>
      <c r="B89" s="241" t="s">
        <v>131</v>
      </c>
      <c r="C89" s="76">
        <f>10000*6%</f>
        <v>600</v>
      </c>
      <c r="D89" s="76">
        <f>10000*6%</f>
        <v>600</v>
      </c>
      <c r="E89" s="85"/>
      <c r="F89" s="71">
        <v>600</v>
      </c>
      <c r="G89" s="100">
        <v>600</v>
      </c>
      <c r="H89" s="339">
        <f>277.2+119.96</f>
        <v>397.15999999999997</v>
      </c>
      <c r="I89" s="227">
        <f t="shared" si="6"/>
        <v>202.84000000000003</v>
      </c>
      <c r="J89" s="85"/>
      <c r="K89" s="362">
        <v>600</v>
      </c>
    </row>
    <row r="90" spans="1:11" ht="13.5" thickBot="1" x14ac:dyDescent="0.25">
      <c r="A90" s="312" t="s">
        <v>132</v>
      </c>
      <c r="B90" s="241" t="s">
        <v>133</v>
      </c>
      <c r="C90" s="76">
        <f>11000*51%</f>
        <v>5610</v>
      </c>
      <c r="D90" s="76">
        <f>11000*51%</f>
        <v>5610</v>
      </c>
      <c r="E90" s="76"/>
      <c r="F90" s="71">
        <v>5610</v>
      </c>
      <c r="G90" s="100">
        <v>5610</v>
      </c>
      <c r="H90" s="339">
        <v>0</v>
      </c>
      <c r="I90" s="227">
        <f t="shared" si="6"/>
        <v>5610</v>
      </c>
      <c r="J90" s="76"/>
      <c r="K90" s="362">
        <v>5610</v>
      </c>
    </row>
    <row r="91" spans="1:11" ht="13.5" thickBot="1" x14ac:dyDescent="0.25">
      <c r="A91" s="358" t="s">
        <v>134</v>
      </c>
      <c r="B91" s="361" t="s">
        <v>135</v>
      </c>
      <c r="C91" s="76">
        <f>11000*43%</f>
        <v>4730</v>
      </c>
      <c r="D91" s="76">
        <f>11000*43%</f>
        <v>4730</v>
      </c>
      <c r="E91" s="76"/>
      <c r="F91" s="71">
        <v>4730</v>
      </c>
      <c r="G91" s="100">
        <v>4730</v>
      </c>
      <c r="H91" s="339">
        <v>0</v>
      </c>
      <c r="I91" s="227">
        <f t="shared" si="6"/>
        <v>4730</v>
      </c>
      <c r="J91" s="76"/>
      <c r="K91" s="362">
        <v>4730</v>
      </c>
    </row>
    <row r="92" spans="1:11" ht="13.5" thickBot="1" x14ac:dyDescent="0.25">
      <c r="A92" s="360" t="s">
        <v>136</v>
      </c>
      <c r="B92" s="356" t="s">
        <v>137</v>
      </c>
      <c r="C92" s="76">
        <f>11000*6%</f>
        <v>660</v>
      </c>
      <c r="D92" s="76">
        <f>11000*6%</f>
        <v>660</v>
      </c>
      <c r="E92" s="76"/>
      <c r="F92" s="71">
        <v>660</v>
      </c>
      <c r="G92" s="100">
        <v>660</v>
      </c>
      <c r="H92" s="339">
        <v>0</v>
      </c>
      <c r="I92" s="227">
        <f t="shared" si="6"/>
        <v>660</v>
      </c>
      <c r="J92" s="76"/>
      <c r="K92" s="362">
        <v>660</v>
      </c>
    </row>
    <row r="93" spans="1:11" ht="13.5" thickBot="1" x14ac:dyDescent="0.25">
      <c r="A93" s="360" t="s">
        <v>138</v>
      </c>
      <c r="B93" s="356" t="s">
        <v>139</v>
      </c>
      <c r="C93" s="76">
        <v>1000</v>
      </c>
      <c r="D93" s="76">
        <v>1000</v>
      </c>
      <c r="E93" s="76"/>
      <c r="F93" s="71">
        <v>1000</v>
      </c>
      <c r="G93" s="100">
        <v>1000</v>
      </c>
      <c r="H93" s="339">
        <v>0</v>
      </c>
      <c r="I93" s="227">
        <f t="shared" si="6"/>
        <v>1000</v>
      </c>
      <c r="J93" s="76"/>
      <c r="K93" s="362">
        <v>1000</v>
      </c>
    </row>
    <row r="94" spans="1:11" ht="13.5" thickBot="1" x14ac:dyDescent="0.25">
      <c r="A94" s="360" t="s">
        <v>581</v>
      </c>
      <c r="B94" s="356" t="s">
        <v>140</v>
      </c>
      <c r="C94" s="76">
        <v>1000</v>
      </c>
      <c r="D94" s="76">
        <v>1000</v>
      </c>
      <c r="E94" s="76"/>
      <c r="F94" s="71">
        <v>1000</v>
      </c>
      <c r="G94" s="100">
        <v>1000</v>
      </c>
      <c r="H94" s="339">
        <v>0</v>
      </c>
      <c r="I94" s="227">
        <f t="shared" si="6"/>
        <v>1000</v>
      </c>
      <c r="J94" s="76"/>
      <c r="K94" s="362">
        <v>1000</v>
      </c>
    </row>
    <row r="95" spans="1:11" ht="13.5" thickBot="1" x14ac:dyDescent="0.25">
      <c r="A95" s="360" t="s">
        <v>582</v>
      </c>
      <c r="B95" s="356" t="s">
        <v>141</v>
      </c>
      <c r="C95" s="76">
        <v>3750</v>
      </c>
      <c r="D95" s="76">
        <v>3750</v>
      </c>
      <c r="E95" s="76"/>
      <c r="F95" s="71">
        <v>3750</v>
      </c>
      <c r="G95" s="100">
        <v>3750</v>
      </c>
      <c r="H95" s="339">
        <v>0</v>
      </c>
      <c r="I95" s="227">
        <f t="shared" si="6"/>
        <v>3750</v>
      </c>
      <c r="J95" s="76"/>
      <c r="K95" s="362">
        <v>3750</v>
      </c>
    </row>
    <row r="96" spans="1:11" ht="13.5" thickBot="1" x14ac:dyDescent="0.25">
      <c r="A96" s="312" t="s">
        <v>142</v>
      </c>
      <c r="B96" s="241" t="s">
        <v>143</v>
      </c>
      <c r="C96" s="76">
        <v>1000</v>
      </c>
      <c r="D96" s="76">
        <v>1000</v>
      </c>
      <c r="E96" s="76"/>
      <c r="F96" s="71">
        <v>1000</v>
      </c>
      <c r="G96" s="100">
        <v>1000</v>
      </c>
      <c r="H96" s="339"/>
      <c r="I96" s="227">
        <f t="shared" si="6"/>
        <v>1000</v>
      </c>
      <c r="J96" s="76"/>
      <c r="K96" s="362">
        <v>1000</v>
      </c>
    </row>
    <row r="97" spans="1:11" ht="13.5" thickBot="1" x14ac:dyDescent="0.25">
      <c r="A97" s="351" t="s">
        <v>144</v>
      </c>
      <c r="B97" s="366" t="s">
        <v>145</v>
      </c>
      <c r="C97" s="76">
        <f>3000*51%</f>
        <v>1530</v>
      </c>
      <c r="D97" s="76">
        <f>3000*51%</f>
        <v>1530</v>
      </c>
      <c r="E97" s="76"/>
      <c r="F97" s="71">
        <v>1530</v>
      </c>
      <c r="G97" s="100">
        <v>1530</v>
      </c>
      <c r="H97" s="339">
        <f>352.13+164.35</f>
        <v>516.48</v>
      </c>
      <c r="I97" s="227">
        <f t="shared" si="6"/>
        <v>1013.52</v>
      </c>
      <c r="J97" s="76"/>
      <c r="K97" s="362">
        <v>1530</v>
      </c>
    </row>
    <row r="98" spans="1:11" ht="13.5" thickBot="1" x14ac:dyDescent="0.25">
      <c r="A98" s="351" t="s">
        <v>146</v>
      </c>
      <c r="B98" s="366" t="s">
        <v>147</v>
      </c>
      <c r="C98" s="76">
        <v>1290</v>
      </c>
      <c r="D98" s="76">
        <v>1290</v>
      </c>
      <c r="E98" s="76"/>
      <c r="F98" s="71">
        <v>1290</v>
      </c>
      <c r="G98" s="100">
        <v>1290</v>
      </c>
      <c r="H98" s="339">
        <f>96.24+138.57</f>
        <v>234.81</v>
      </c>
      <c r="I98" s="227">
        <f t="shared" si="6"/>
        <v>1055.19</v>
      </c>
      <c r="J98" s="76"/>
      <c r="K98" s="362">
        <v>1290</v>
      </c>
    </row>
    <row r="99" spans="1:11" ht="13.5" thickBot="1" x14ac:dyDescent="0.25">
      <c r="A99" s="351" t="s">
        <v>148</v>
      </c>
      <c r="B99" s="366" t="s">
        <v>149</v>
      </c>
      <c r="C99" s="76">
        <v>180</v>
      </c>
      <c r="D99" s="76">
        <v>180</v>
      </c>
      <c r="E99" s="76"/>
      <c r="F99" s="71">
        <v>180</v>
      </c>
      <c r="G99" s="100">
        <v>180</v>
      </c>
      <c r="H99" s="339">
        <f>18.97+19.34</f>
        <v>38.31</v>
      </c>
      <c r="I99" s="227">
        <f t="shared" si="6"/>
        <v>141.69</v>
      </c>
      <c r="J99" s="76"/>
      <c r="K99" s="362">
        <v>180</v>
      </c>
    </row>
    <row r="100" spans="1:11" ht="13.5" thickBot="1" x14ac:dyDescent="0.25">
      <c r="A100" s="312" t="s">
        <v>150</v>
      </c>
      <c r="B100" s="366" t="s">
        <v>151</v>
      </c>
      <c r="C100" s="76">
        <v>2000</v>
      </c>
      <c r="D100" s="76">
        <v>2000</v>
      </c>
      <c r="E100" s="76"/>
      <c r="F100" s="71">
        <v>2000</v>
      </c>
      <c r="G100" s="100">
        <v>2000</v>
      </c>
      <c r="H100" s="339">
        <v>384.39</v>
      </c>
      <c r="I100" s="227">
        <f t="shared" si="6"/>
        <v>1615.6100000000001</v>
      </c>
      <c r="J100" s="76"/>
      <c r="K100" s="362">
        <v>2000</v>
      </c>
    </row>
    <row r="101" spans="1:11" ht="13.5" thickBot="1" x14ac:dyDescent="0.25">
      <c r="A101" s="360" t="s">
        <v>152</v>
      </c>
      <c r="B101" s="356" t="s">
        <v>153</v>
      </c>
      <c r="C101" s="76">
        <v>612</v>
      </c>
      <c r="D101" s="76">
        <v>612</v>
      </c>
      <c r="E101" s="76"/>
      <c r="F101" s="71">
        <v>612</v>
      </c>
      <c r="G101" s="71">
        <v>612</v>
      </c>
      <c r="H101" s="331">
        <v>0</v>
      </c>
      <c r="I101" s="227">
        <f t="shared" si="6"/>
        <v>612</v>
      </c>
      <c r="J101" s="76"/>
      <c r="K101" s="362">
        <v>612</v>
      </c>
    </row>
    <row r="102" spans="1:11" ht="13.5" thickBot="1" x14ac:dyDescent="0.25">
      <c r="A102" s="360" t="s">
        <v>154</v>
      </c>
      <c r="B102" s="356" t="s">
        <v>155</v>
      </c>
      <c r="C102" s="76">
        <v>516</v>
      </c>
      <c r="D102" s="76">
        <v>516</v>
      </c>
      <c r="E102" s="76"/>
      <c r="F102" s="71">
        <v>516</v>
      </c>
      <c r="G102" s="100">
        <v>516</v>
      </c>
      <c r="H102" s="339">
        <v>0</v>
      </c>
      <c r="I102" s="227">
        <f t="shared" si="6"/>
        <v>516</v>
      </c>
      <c r="J102" s="76"/>
      <c r="K102" s="362">
        <v>516</v>
      </c>
    </row>
    <row r="103" spans="1:11" ht="13.5" thickBot="1" x14ac:dyDescent="0.25">
      <c r="A103" s="360" t="s">
        <v>156</v>
      </c>
      <c r="B103" s="356" t="s">
        <v>157</v>
      </c>
      <c r="C103" s="76">
        <v>72</v>
      </c>
      <c r="D103" s="76">
        <v>72</v>
      </c>
      <c r="E103" s="76"/>
      <c r="F103" s="71">
        <v>72</v>
      </c>
      <c r="G103" s="100">
        <v>72</v>
      </c>
      <c r="H103" s="339">
        <v>0</v>
      </c>
      <c r="I103" s="227">
        <f t="shared" si="6"/>
        <v>72</v>
      </c>
      <c r="J103" s="76"/>
      <c r="K103" s="362">
        <v>72</v>
      </c>
    </row>
    <row r="104" spans="1:11" ht="13.5" thickBot="1" x14ac:dyDescent="0.25">
      <c r="A104" s="360" t="s">
        <v>158</v>
      </c>
      <c r="B104" s="356" t="s">
        <v>159</v>
      </c>
      <c r="C104" s="76">
        <v>16817.8</v>
      </c>
      <c r="D104" s="76">
        <v>16817.8</v>
      </c>
      <c r="E104" s="76"/>
      <c r="F104" s="71">
        <v>18694.05</v>
      </c>
      <c r="G104" s="100">
        <v>18694.05</v>
      </c>
      <c r="H104" s="339">
        <v>8795.4599999999991</v>
      </c>
      <c r="I104" s="227">
        <f t="shared" si="6"/>
        <v>9898.59</v>
      </c>
      <c r="J104" s="76"/>
      <c r="K104" s="362">
        <f>F104*3%+F104</f>
        <v>19254.871499999997</v>
      </c>
    </row>
    <row r="105" spans="1:11" ht="13.5" thickBot="1" x14ac:dyDescent="0.25">
      <c r="A105" s="360" t="s">
        <v>160</v>
      </c>
      <c r="B105" s="356" t="s">
        <v>161</v>
      </c>
      <c r="C105" s="76">
        <v>14179.72</v>
      </c>
      <c r="D105" s="76">
        <v>14179.72</v>
      </c>
      <c r="E105" s="76"/>
      <c r="F105" s="71">
        <v>15761.65</v>
      </c>
      <c r="G105" s="71">
        <v>15761.65</v>
      </c>
      <c r="H105" s="331">
        <v>7415.78</v>
      </c>
      <c r="I105" s="227">
        <f t="shared" si="6"/>
        <v>8345.869999999999</v>
      </c>
      <c r="J105" s="76"/>
      <c r="K105" s="362">
        <f t="shared" ref="K105:K106" si="7">F105*3%+F105</f>
        <v>16234.4995</v>
      </c>
    </row>
    <row r="106" spans="1:11" ht="13.5" thickBot="1" x14ac:dyDescent="0.25">
      <c r="A106" s="360" t="s">
        <v>162</v>
      </c>
      <c r="B106" s="356" t="s">
        <v>163</v>
      </c>
      <c r="C106" s="87">
        <v>1978.56</v>
      </c>
      <c r="D106" s="87">
        <v>1978.56</v>
      </c>
      <c r="E106" s="76"/>
      <c r="F106" s="71">
        <v>2199.3000000000002</v>
      </c>
      <c r="G106" s="100">
        <v>2199.3000000000002</v>
      </c>
      <c r="H106" s="339">
        <v>1034.76</v>
      </c>
      <c r="I106" s="227">
        <f t="shared" si="6"/>
        <v>1164.5400000000002</v>
      </c>
      <c r="J106" s="76"/>
      <c r="K106" s="362">
        <f t="shared" si="7"/>
        <v>2265.279</v>
      </c>
    </row>
    <row r="107" spans="1:11" ht="13.5" thickBot="1" x14ac:dyDescent="0.25">
      <c r="A107" s="360" t="s">
        <v>164</v>
      </c>
      <c r="B107" s="356" t="s">
        <v>165</v>
      </c>
      <c r="C107" s="76">
        <v>9486</v>
      </c>
      <c r="D107" s="76">
        <v>9486</v>
      </c>
      <c r="E107" s="76"/>
      <c r="F107" s="71">
        <v>9486</v>
      </c>
      <c r="G107" s="100">
        <v>9486</v>
      </c>
      <c r="H107" s="339">
        <v>5458.98</v>
      </c>
      <c r="I107" s="227">
        <f t="shared" si="6"/>
        <v>4027.0200000000004</v>
      </c>
      <c r="J107" s="76"/>
      <c r="K107" s="71">
        <f>18600*51%</f>
        <v>9486</v>
      </c>
    </row>
    <row r="108" spans="1:11" ht="13.5" thickBot="1" x14ac:dyDescent="0.25">
      <c r="A108" s="312" t="s">
        <v>166</v>
      </c>
      <c r="B108" s="241" t="s">
        <v>167</v>
      </c>
      <c r="C108" s="76">
        <v>7998</v>
      </c>
      <c r="D108" s="76">
        <v>7998</v>
      </c>
      <c r="E108" s="76"/>
      <c r="F108" s="71">
        <v>7998</v>
      </c>
      <c r="G108" s="100">
        <v>7998</v>
      </c>
      <c r="H108" s="339">
        <v>5190.7299999999996</v>
      </c>
      <c r="I108" s="227">
        <f t="shared" si="6"/>
        <v>2807.2700000000004</v>
      </c>
      <c r="J108" s="76"/>
      <c r="K108" s="71">
        <f>18600*43%</f>
        <v>7998</v>
      </c>
    </row>
    <row r="109" spans="1:11" ht="13.5" thickBot="1" x14ac:dyDescent="0.25">
      <c r="A109" s="358" t="s">
        <v>168</v>
      </c>
      <c r="B109" s="361" t="s">
        <v>169</v>
      </c>
      <c r="C109" s="76">
        <v>1116</v>
      </c>
      <c r="D109" s="76">
        <v>1116</v>
      </c>
      <c r="E109" s="76"/>
      <c r="F109" s="71">
        <v>1116</v>
      </c>
      <c r="G109" s="100">
        <v>1116</v>
      </c>
      <c r="H109" s="339">
        <v>661.93</v>
      </c>
      <c r="I109" s="227">
        <f t="shared" si="6"/>
        <v>454.07000000000005</v>
      </c>
      <c r="J109" s="76"/>
      <c r="K109" s="71">
        <f>18600*6%</f>
        <v>1116</v>
      </c>
    </row>
    <row r="110" spans="1:11" ht="13.5" thickBot="1" x14ac:dyDescent="0.25">
      <c r="A110" s="360" t="s">
        <v>170</v>
      </c>
      <c r="B110" s="356" t="s">
        <v>171</v>
      </c>
      <c r="C110" s="76">
        <v>28254</v>
      </c>
      <c r="D110" s="76">
        <v>28254</v>
      </c>
      <c r="E110" s="76"/>
      <c r="F110" s="71">
        <v>28254</v>
      </c>
      <c r="G110" s="100">
        <v>28254</v>
      </c>
      <c r="H110" s="339">
        <v>6009.71</v>
      </c>
      <c r="I110" s="227">
        <f t="shared" si="6"/>
        <v>22244.29</v>
      </c>
      <c r="J110" s="76"/>
      <c r="K110" s="362">
        <v>28254</v>
      </c>
    </row>
    <row r="111" spans="1:11" ht="13.5" thickBot="1" x14ac:dyDescent="0.25">
      <c r="A111" s="360" t="s">
        <v>172</v>
      </c>
      <c r="B111" s="356" t="s">
        <v>173</v>
      </c>
      <c r="C111" s="76">
        <v>23822</v>
      </c>
      <c r="D111" s="76">
        <v>23822</v>
      </c>
      <c r="E111" s="76"/>
      <c r="F111" s="71">
        <v>23822</v>
      </c>
      <c r="G111" s="100">
        <v>23822</v>
      </c>
      <c r="H111" s="339">
        <v>5079.7299999999996</v>
      </c>
      <c r="I111" s="227">
        <f t="shared" si="6"/>
        <v>18742.27</v>
      </c>
      <c r="J111" s="76"/>
      <c r="K111" s="362">
        <v>23822</v>
      </c>
    </row>
    <row r="112" spans="1:11" ht="13.5" thickBot="1" x14ac:dyDescent="0.25">
      <c r="A112" s="360" t="s">
        <v>174</v>
      </c>
      <c r="B112" s="356" t="s">
        <v>175</v>
      </c>
      <c r="C112" s="76">
        <v>3324</v>
      </c>
      <c r="D112" s="76">
        <v>3324</v>
      </c>
      <c r="E112" s="76"/>
      <c r="F112" s="71">
        <v>3324</v>
      </c>
      <c r="G112" s="100">
        <v>3324</v>
      </c>
      <c r="H112" s="339">
        <v>757.48</v>
      </c>
      <c r="I112" s="227">
        <f t="shared" si="6"/>
        <v>2566.52</v>
      </c>
      <c r="J112" s="76"/>
      <c r="K112" s="362">
        <v>3324</v>
      </c>
    </row>
    <row r="113" spans="1:11" ht="13.5" thickBot="1" x14ac:dyDescent="0.25">
      <c r="A113" s="360" t="s">
        <v>176</v>
      </c>
      <c r="B113" s="356" t="s">
        <v>177</v>
      </c>
      <c r="C113" s="76">
        <v>22032</v>
      </c>
      <c r="D113" s="76">
        <v>22032</v>
      </c>
      <c r="E113" s="76"/>
      <c r="F113" s="71">
        <v>22032</v>
      </c>
      <c r="G113" s="100">
        <v>22032</v>
      </c>
      <c r="H113" s="339">
        <v>1944.45</v>
      </c>
      <c r="I113" s="227">
        <f t="shared" si="6"/>
        <v>20087.55</v>
      </c>
      <c r="J113" s="76"/>
      <c r="K113" s="362">
        <v>22032</v>
      </c>
    </row>
    <row r="114" spans="1:11" ht="13.5" thickBot="1" x14ac:dyDescent="0.25">
      <c r="A114" s="360" t="s">
        <v>178</v>
      </c>
      <c r="B114" s="356" t="s">
        <v>179</v>
      </c>
      <c r="C114" s="76">
        <v>18576</v>
      </c>
      <c r="D114" s="76">
        <v>18576</v>
      </c>
      <c r="E114" s="76"/>
      <c r="F114" s="71">
        <v>18576</v>
      </c>
      <c r="G114" s="100">
        <v>18576</v>
      </c>
      <c r="H114" s="339">
        <v>1665</v>
      </c>
      <c r="I114" s="227">
        <f t="shared" si="6"/>
        <v>16911</v>
      </c>
      <c r="J114" s="76"/>
      <c r="K114" s="362">
        <v>18576</v>
      </c>
    </row>
    <row r="115" spans="1:11" x14ac:dyDescent="0.2">
      <c r="A115" s="360" t="s">
        <v>180</v>
      </c>
      <c r="B115" s="356" t="s">
        <v>181</v>
      </c>
      <c r="C115" s="76">
        <v>2592</v>
      </c>
      <c r="D115" s="76">
        <v>2592</v>
      </c>
      <c r="E115" s="76"/>
      <c r="F115" s="104">
        <v>2592</v>
      </c>
      <c r="G115" s="104">
        <v>2592</v>
      </c>
      <c r="H115" s="367">
        <v>0</v>
      </c>
      <c r="I115" s="227">
        <f t="shared" si="6"/>
        <v>2592</v>
      </c>
      <c r="J115" s="76"/>
      <c r="K115" s="227">
        <v>2592</v>
      </c>
    </row>
    <row r="116" spans="1:11" x14ac:dyDescent="0.2">
      <c r="A116" s="344" t="s">
        <v>351</v>
      </c>
      <c r="B116" s="242" t="s">
        <v>352</v>
      </c>
      <c r="C116" s="85"/>
      <c r="D116" s="85"/>
      <c r="E116" s="85"/>
      <c r="F116" s="264"/>
      <c r="G116" s="264"/>
      <c r="H116" s="367"/>
      <c r="I116" s="265"/>
      <c r="J116" s="85"/>
      <c r="K116" s="266">
        <v>13500</v>
      </c>
    </row>
    <row r="117" spans="1:11" ht="13.5" thickBot="1" x14ac:dyDescent="0.25">
      <c r="A117" s="328" t="s">
        <v>182</v>
      </c>
      <c r="B117" s="368"/>
      <c r="C117" s="88">
        <f>SUM(C87:C115)+C62+C85</f>
        <v>570252.89999999991</v>
      </c>
      <c r="D117" s="88">
        <f>SUM(D87:D115)+D62+D85</f>
        <v>570252.89999999991</v>
      </c>
      <c r="E117" s="88"/>
      <c r="F117" s="74">
        <f>SUM(F87:F116)+F62+F85</f>
        <v>590285.14</v>
      </c>
      <c r="G117" s="74">
        <v>590285.14</v>
      </c>
      <c r="H117" s="369">
        <f>SUM(H87:H115)+H62+H85</f>
        <v>243198.21000000002</v>
      </c>
      <c r="I117" s="239">
        <f>SUM(I87:I115)+I62+I85</f>
        <v>347086.93000000005</v>
      </c>
      <c r="J117" s="88"/>
      <c r="K117" s="238">
        <f>SUM(K87:K116)+K62+K85</f>
        <v>623053.65032000002</v>
      </c>
    </row>
    <row r="118" spans="1:11" ht="13.5" thickBot="1" x14ac:dyDescent="0.25">
      <c r="A118" s="318"/>
      <c r="B118" s="370"/>
      <c r="C118" s="99"/>
      <c r="D118" s="99"/>
      <c r="E118" s="99"/>
      <c r="F118" s="69"/>
      <c r="G118" s="259"/>
      <c r="H118" s="339"/>
      <c r="I118" s="240"/>
      <c r="J118" s="99"/>
      <c r="K118" s="237"/>
    </row>
    <row r="119" spans="1:11" ht="13.5" thickBot="1" x14ac:dyDescent="0.25">
      <c r="A119" s="371" t="s">
        <v>183</v>
      </c>
      <c r="B119" s="372" t="s">
        <v>184</v>
      </c>
      <c r="C119" s="76">
        <v>53000</v>
      </c>
      <c r="D119" s="76">
        <v>53000</v>
      </c>
      <c r="E119" s="76"/>
      <c r="F119" s="71">
        <v>30803</v>
      </c>
      <c r="G119" s="100">
        <v>30803</v>
      </c>
      <c r="H119" s="339">
        <v>0</v>
      </c>
      <c r="I119" s="227">
        <f>G119-H119</f>
        <v>30803</v>
      </c>
      <c r="J119" s="76"/>
      <c r="K119" s="227">
        <v>10000</v>
      </c>
    </row>
    <row r="120" spans="1:11" ht="13.5" thickBot="1" x14ac:dyDescent="0.25">
      <c r="A120" s="371" t="s">
        <v>185</v>
      </c>
      <c r="B120" s="372" t="s">
        <v>186</v>
      </c>
      <c r="C120" s="76">
        <v>5000</v>
      </c>
      <c r="D120" s="76">
        <v>5000</v>
      </c>
      <c r="E120" s="76"/>
      <c r="F120" s="71">
        <v>20000</v>
      </c>
      <c r="G120" s="100">
        <v>20000</v>
      </c>
      <c r="H120" s="339">
        <v>0</v>
      </c>
      <c r="I120" s="227">
        <f t="shared" ref="I120:I123" si="8">G120-H120</f>
        <v>20000</v>
      </c>
      <c r="J120" s="76"/>
      <c r="K120" s="362">
        <v>20000</v>
      </c>
    </row>
    <row r="121" spans="1:11" ht="13.5" thickBot="1" x14ac:dyDescent="0.25">
      <c r="A121" s="318" t="s">
        <v>187</v>
      </c>
      <c r="B121" s="241" t="s">
        <v>188</v>
      </c>
      <c r="C121" s="76">
        <v>150000</v>
      </c>
      <c r="D121" s="76">
        <v>150000</v>
      </c>
      <c r="E121" s="76"/>
      <c r="F121" s="71">
        <v>150000</v>
      </c>
      <c r="G121" s="100">
        <v>150000</v>
      </c>
      <c r="H121" s="339">
        <v>0</v>
      </c>
      <c r="I121" s="227">
        <f t="shared" si="8"/>
        <v>150000</v>
      </c>
      <c r="J121" s="76"/>
      <c r="K121" s="362">
        <v>150000</v>
      </c>
    </row>
    <row r="122" spans="1:11" ht="13.5" thickBot="1" x14ac:dyDescent="0.25">
      <c r="A122" s="312" t="s">
        <v>189</v>
      </c>
      <c r="B122" s="241" t="s">
        <v>190</v>
      </c>
      <c r="C122" s="76">
        <v>255703</v>
      </c>
      <c r="D122" s="86">
        <f>D22</f>
        <v>729922</v>
      </c>
      <c r="E122" s="76"/>
      <c r="F122" s="71">
        <v>350000</v>
      </c>
      <c r="G122" s="100">
        <v>895476</v>
      </c>
      <c r="H122" s="339">
        <v>0</v>
      </c>
      <c r="I122" s="227">
        <f t="shared" si="8"/>
        <v>895476</v>
      </c>
      <c r="J122" s="76"/>
      <c r="K122" s="462">
        <v>450000</v>
      </c>
    </row>
    <row r="123" spans="1:11" ht="14.25" thickTop="1" thickBot="1" x14ac:dyDescent="0.25">
      <c r="A123" s="373" t="s">
        <v>191</v>
      </c>
      <c r="B123" s="364"/>
      <c r="C123" s="93">
        <f>SUM(C119:C122)</f>
        <v>463703</v>
      </c>
      <c r="D123" s="93">
        <f>SUM(D119:D122)</f>
        <v>937922</v>
      </c>
      <c r="E123" s="93"/>
      <c r="F123" s="94">
        <f>SUM(F119:F122)</f>
        <v>550803</v>
      </c>
      <c r="G123" s="262">
        <f>SUM(G119:G122)</f>
        <v>1096279</v>
      </c>
      <c r="H123" s="374">
        <f>SUM(H119:H122)</f>
        <v>0</v>
      </c>
      <c r="I123" s="263">
        <f t="shared" si="8"/>
        <v>1096279</v>
      </c>
      <c r="J123" s="93"/>
      <c r="K123" s="375">
        <f>SUM(K119:K122)</f>
        <v>630000</v>
      </c>
    </row>
    <row r="124" spans="1:11" ht="14.25" thickTop="1" thickBot="1" x14ac:dyDescent="0.25">
      <c r="A124" s="373" t="s">
        <v>192</v>
      </c>
      <c r="B124" s="376"/>
      <c r="C124" s="89">
        <f>C55+C117+C123</f>
        <v>1326736.8399999999</v>
      </c>
      <c r="D124" s="89">
        <f>D55+D117+D123</f>
        <v>1800955.8399999999</v>
      </c>
      <c r="E124" s="74"/>
      <c r="F124" s="74">
        <f>F55+F117+F123</f>
        <v>1442847.8</v>
      </c>
      <c r="G124" s="74">
        <f>G55+G117+G123</f>
        <v>1988323.8</v>
      </c>
      <c r="H124" s="335">
        <f>H55+H62+H85+H117+H123</f>
        <v>581645.58000000007</v>
      </c>
      <c r="I124" s="74">
        <f>I55+I62+I85+I117+I123</f>
        <v>1809158.36</v>
      </c>
      <c r="J124" s="74"/>
      <c r="K124" s="243">
        <f>K55+K117+K123</f>
        <v>1593854.7456232801</v>
      </c>
    </row>
    <row r="125" spans="1:11" x14ac:dyDescent="0.2">
      <c r="A125" s="377" t="s">
        <v>199</v>
      </c>
      <c r="B125" s="242"/>
      <c r="C125" s="98"/>
      <c r="E125" s="80"/>
      <c r="F125" s="80"/>
      <c r="G125" s="80"/>
      <c r="H125" s="378"/>
      <c r="I125" s="80"/>
      <c r="J125" s="80"/>
      <c r="K125" s="80"/>
    </row>
    <row r="126" spans="1:11" x14ac:dyDescent="0.2">
      <c r="A126" s="377" t="s">
        <v>200</v>
      </c>
      <c r="B126" s="242"/>
      <c r="C126" s="98"/>
      <c r="E126" s="80"/>
      <c r="F126" s="80"/>
      <c r="G126" s="80"/>
      <c r="H126" s="378"/>
      <c r="I126" s="80"/>
      <c r="J126" s="80"/>
      <c r="K126" s="80"/>
    </row>
    <row r="127" spans="1:11" x14ac:dyDescent="0.2">
      <c r="A127" s="377" t="s">
        <v>567</v>
      </c>
      <c r="B127" s="242"/>
      <c r="C127" s="98"/>
      <c r="E127" s="80"/>
      <c r="F127" s="80"/>
      <c r="G127" s="80"/>
      <c r="H127" s="378"/>
      <c r="I127" s="80"/>
      <c r="J127" s="80"/>
      <c r="K127" s="80"/>
    </row>
    <row r="128" spans="1:11" x14ac:dyDescent="0.2">
      <c r="C128" s="75" t="s">
        <v>5</v>
      </c>
      <c r="F128" s="75" t="s">
        <v>6</v>
      </c>
      <c r="K128" s="75" t="s">
        <v>201</v>
      </c>
    </row>
    <row r="129" spans="1:11" x14ac:dyDescent="0.2">
      <c r="A129" s="299" t="s">
        <v>193</v>
      </c>
      <c r="C129" s="256">
        <f>C124</f>
        <v>1326736.8399999999</v>
      </c>
      <c r="F129" s="75">
        <f>F124</f>
        <v>1442847.8</v>
      </c>
      <c r="K129" s="75">
        <f>K124</f>
        <v>1593854.7456232801</v>
      </c>
    </row>
    <row r="130" spans="1:11" x14ac:dyDescent="0.2">
      <c r="A130" s="299" t="s">
        <v>196</v>
      </c>
      <c r="C130" s="256">
        <v>76.97</v>
      </c>
      <c r="F130" s="75">
        <v>71.33</v>
      </c>
      <c r="K130" s="75">
        <v>67.180000000000007</v>
      </c>
    </row>
    <row r="131" spans="1:11" x14ac:dyDescent="0.2">
      <c r="A131" s="299" t="s">
        <v>195</v>
      </c>
      <c r="C131" s="256">
        <v>28.29</v>
      </c>
      <c r="F131" s="75">
        <v>26.78</v>
      </c>
      <c r="K131" s="75">
        <v>25.71</v>
      </c>
    </row>
    <row r="132" spans="1:11" x14ac:dyDescent="0.2">
      <c r="A132" s="299" t="s">
        <v>194</v>
      </c>
      <c r="C132" s="256">
        <v>5.87</v>
      </c>
      <c r="F132" s="75">
        <v>5.44</v>
      </c>
      <c r="K132" s="75">
        <v>5.21</v>
      </c>
    </row>
    <row r="133" spans="1:11" x14ac:dyDescent="0.2">
      <c r="A133" s="299" t="s">
        <v>197</v>
      </c>
      <c r="C133" s="256">
        <v>38.479999999999997</v>
      </c>
      <c r="F133" s="75">
        <v>35.659999999999997</v>
      </c>
      <c r="K133" s="75">
        <v>33.590000000000003</v>
      </c>
    </row>
  </sheetData>
  <pageMargins left="0" right="0" top="1.25" bottom="0.5" header="0.3" footer="0.3"/>
  <pageSetup scale="91" fitToHeight="0" orientation="landscape" r:id="rId1"/>
  <headerFooter>
    <oddHeader xml:space="preserve">&amp;C&amp;"-,Bold"&amp;14Barron Water Control District&amp;11
&amp;12GF Budget
Adopted:  August 28, 2019
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0"/>
  <sheetViews>
    <sheetView workbookViewId="0">
      <selection activeCell="C10" sqref="C10"/>
    </sheetView>
  </sheetViews>
  <sheetFormatPr defaultRowHeight="15" x14ac:dyDescent="0.25"/>
  <cols>
    <col min="1" max="1" width="9.140625" style="6"/>
    <col min="2" max="2" width="18.42578125" style="6" customWidth="1"/>
    <col min="3" max="3" width="9.140625" style="16"/>
    <col min="4" max="4" width="10.5703125" style="121" bestFit="1" customWidth="1"/>
    <col min="5" max="5" width="11.140625" style="16" bestFit="1" customWidth="1"/>
    <col min="6" max="6" width="9.140625" style="16"/>
    <col min="7" max="7" width="16" style="123" customWidth="1"/>
    <col min="8" max="8" width="1.42578125" style="16" customWidth="1"/>
    <col min="9" max="9" width="9.140625" style="16"/>
    <col min="10" max="10" width="1.5703125" style="6" customWidth="1"/>
    <col min="11" max="11" width="11.140625" style="6" bestFit="1" customWidth="1"/>
    <col min="12" max="14" width="9.140625" style="6"/>
    <col min="15" max="16384" width="9.140625" style="105"/>
  </cols>
  <sheetData>
    <row r="1" spans="1:12" s="105" customFormat="1" ht="16.5" thickBot="1" x14ac:dyDescent="0.3">
      <c r="A1" s="528" t="s">
        <v>301</v>
      </c>
      <c r="B1" s="528"/>
      <c r="C1" s="528"/>
      <c r="D1" s="528"/>
      <c r="E1" s="528"/>
      <c r="F1" s="528"/>
      <c r="G1" s="528"/>
      <c r="H1" s="528"/>
      <c r="I1" s="528"/>
      <c r="J1" s="528"/>
      <c r="K1" s="528"/>
      <c r="L1" s="14"/>
    </row>
    <row r="2" spans="1:12" s="105" customFormat="1" x14ac:dyDescent="0.25">
      <c r="A2" s="15"/>
      <c r="B2" s="529" t="s">
        <v>302</v>
      </c>
      <c r="C2" s="529"/>
      <c r="D2" s="530"/>
      <c r="E2" s="16"/>
      <c r="F2" s="17" t="s">
        <v>303</v>
      </c>
      <c r="G2" s="106"/>
      <c r="H2" s="18"/>
      <c r="I2" s="107" t="s">
        <v>243</v>
      </c>
      <c r="J2" s="19"/>
      <c r="L2" s="6"/>
    </row>
    <row r="3" spans="1:12" s="105" customFormat="1" x14ac:dyDescent="0.25">
      <c r="A3" s="531" t="s">
        <v>244</v>
      </c>
      <c r="B3" s="532"/>
      <c r="C3" s="20" t="s">
        <v>245</v>
      </c>
      <c r="D3" s="108" t="s">
        <v>246</v>
      </c>
      <c r="E3" s="16"/>
      <c r="F3" s="21" t="s">
        <v>247</v>
      </c>
      <c r="G3" s="109" t="s">
        <v>248</v>
      </c>
      <c r="H3" s="16"/>
      <c r="I3" s="110" t="s">
        <v>6</v>
      </c>
      <c r="J3" s="6"/>
      <c r="L3" s="6"/>
    </row>
    <row r="4" spans="1:12" s="105" customFormat="1" x14ac:dyDescent="0.25">
      <c r="A4" s="23">
        <v>16</v>
      </c>
      <c r="B4" s="24" t="s">
        <v>224</v>
      </c>
      <c r="C4" s="25">
        <v>3356.61</v>
      </c>
      <c r="D4" s="26">
        <v>5596.3091000000004</v>
      </c>
      <c r="E4" s="16"/>
      <c r="F4" s="27" t="s">
        <v>249</v>
      </c>
      <c r="G4" s="111">
        <v>881.01400000000001</v>
      </c>
      <c r="H4" s="16"/>
      <c r="I4" s="112">
        <v>71.33</v>
      </c>
      <c r="J4" s="6"/>
      <c r="L4" s="6"/>
    </row>
    <row r="5" spans="1:12" s="105" customFormat="1" x14ac:dyDescent="0.25">
      <c r="A5" s="23">
        <v>18</v>
      </c>
      <c r="B5" s="24" t="s">
        <v>250</v>
      </c>
      <c r="C5" s="25">
        <v>424.31</v>
      </c>
      <c r="D5" s="26">
        <v>552.07000000000005</v>
      </c>
      <c r="E5" s="16"/>
      <c r="F5" s="27"/>
      <c r="G5" s="111"/>
      <c r="H5" s="16"/>
      <c r="I5" s="112"/>
      <c r="J5" s="6"/>
      <c r="L5" s="6"/>
    </row>
    <row r="6" spans="1:12" s="105" customFormat="1" x14ac:dyDescent="0.25">
      <c r="A6" s="23">
        <v>1601</v>
      </c>
      <c r="B6" s="24" t="s">
        <v>215</v>
      </c>
      <c r="C6" s="25">
        <v>4208.45</v>
      </c>
      <c r="D6" s="26">
        <v>4244.63</v>
      </c>
      <c r="E6" s="16"/>
      <c r="F6" s="27" t="s">
        <v>251</v>
      </c>
      <c r="G6" s="111">
        <v>1766.31</v>
      </c>
      <c r="H6" s="16"/>
      <c r="I6" s="112">
        <v>26.78</v>
      </c>
      <c r="J6" s="6"/>
      <c r="L6" s="6"/>
    </row>
    <row r="7" spans="1:12" s="105" customFormat="1" x14ac:dyDescent="0.25">
      <c r="A7" s="23">
        <v>1602</v>
      </c>
      <c r="B7" s="24" t="s">
        <v>217</v>
      </c>
      <c r="C7" s="25">
        <v>3304.66</v>
      </c>
      <c r="D7" s="26">
        <v>3358.77</v>
      </c>
      <c r="E7" s="16"/>
      <c r="F7" s="27" t="s">
        <v>252</v>
      </c>
      <c r="G7" s="111">
        <v>3773.34</v>
      </c>
      <c r="H7" s="16"/>
      <c r="I7" s="112">
        <v>5.44</v>
      </c>
      <c r="J7" s="6"/>
      <c r="L7" s="6"/>
    </row>
    <row r="8" spans="1:12" s="105" customFormat="1" x14ac:dyDescent="0.25">
      <c r="A8" s="23">
        <v>1603</v>
      </c>
      <c r="B8" s="24" t="s">
        <v>253</v>
      </c>
      <c r="C8" s="25">
        <v>0</v>
      </c>
      <c r="D8" s="26">
        <v>237.04</v>
      </c>
      <c r="E8" s="16"/>
      <c r="F8" s="27"/>
      <c r="G8" s="111"/>
      <c r="H8" s="16"/>
      <c r="I8" s="112"/>
      <c r="J8" s="6"/>
      <c r="L8" s="6"/>
    </row>
    <row r="9" spans="1:12" s="105" customFormat="1" x14ac:dyDescent="0.25">
      <c r="A9" s="23">
        <v>1604</v>
      </c>
      <c r="B9" s="24" t="s">
        <v>254</v>
      </c>
      <c r="C9" s="25">
        <v>8484.9699999999993</v>
      </c>
      <c r="D9" s="26">
        <f>C9</f>
        <v>8484.9699999999993</v>
      </c>
      <c r="E9" s="16"/>
      <c r="F9" s="27"/>
      <c r="G9" s="111"/>
      <c r="H9" s="16"/>
      <c r="I9" s="112"/>
      <c r="J9" s="6"/>
      <c r="L9" s="6" t="s">
        <v>198</v>
      </c>
    </row>
    <row r="10" spans="1:12" s="105" customFormat="1" x14ac:dyDescent="0.25">
      <c r="A10" s="23">
        <v>1605</v>
      </c>
      <c r="B10" s="24" t="s">
        <v>253</v>
      </c>
      <c r="C10" s="25">
        <v>0</v>
      </c>
      <c r="D10" s="26">
        <v>258.77999999999997</v>
      </c>
      <c r="E10" s="16"/>
      <c r="F10" s="27"/>
      <c r="G10" s="111"/>
      <c r="H10" s="16"/>
      <c r="I10" s="112"/>
      <c r="J10" s="6"/>
      <c r="L10" s="6"/>
    </row>
    <row r="11" spans="1:12" s="105" customFormat="1" x14ac:dyDescent="0.25">
      <c r="A11" s="23">
        <v>1606</v>
      </c>
      <c r="B11" s="24" t="s">
        <v>197</v>
      </c>
      <c r="C11" s="28">
        <v>227.22</v>
      </c>
      <c r="D11" s="29">
        <v>227.22</v>
      </c>
      <c r="E11" s="16"/>
      <c r="F11" s="27" t="s">
        <v>255</v>
      </c>
      <c r="G11" s="113">
        <v>249.49</v>
      </c>
      <c r="H11" s="16"/>
      <c r="I11" s="112">
        <v>35.659999999999997</v>
      </c>
      <c r="J11" s="16"/>
      <c r="L11" s="16"/>
    </row>
    <row r="12" spans="1:12" s="105" customFormat="1" ht="15.75" thickBot="1" x14ac:dyDescent="0.3">
      <c r="A12" s="30"/>
      <c r="B12" s="31"/>
      <c r="C12" s="32">
        <f>SUM(C4:C11)</f>
        <v>20006.22</v>
      </c>
      <c r="D12" s="33">
        <f>SUM(D4:D11)</f>
        <v>22959.789100000002</v>
      </c>
      <c r="E12" s="16"/>
      <c r="F12" s="34"/>
      <c r="G12" s="114">
        <f>SUM(G4:G11)</f>
        <v>6670.1540000000005</v>
      </c>
      <c r="H12" s="16"/>
      <c r="I12" s="115"/>
      <c r="J12" s="16"/>
      <c r="L12" s="16"/>
    </row>
    <row r="13" spans="1:12" s="105" customFormat="1" ht="14.25" customHeight="1" x14ac:dyDescent="0.25">
      <c r="A13" s="533" t="s">
        <v>256</v>
      </c>
      <c r="B13" s="533"/>
      <c r="C13" s="533"/>
      <c r="D13" s="533"/>
      <c r="E13" s="533"/>
      <c r="F13" s="533"/>
      <c r="G13" s="533"/>
      <c r="H13" s="24"/>
      <c r="I13" s="534" t="s">
        <v>257</v>
      </c>
      <c r="J13" s="535"/>
      <c r="K13" s="536"/>
      <c r="L13" s="6"/>
    </row>
    <row r="14" spans="1:12" s="105" customFormat="1" ht="15.75" thickBot="1" x14ac:dyDescent="0.3">
      <c r="A14" s="6"/>
      <c r="B14" s="6"/>
      <c r="C14" s="35" t="s">
        <v>245</v>
      </c>
      <c r="D14" s="116" t="s">
        <v>258</v>
      </c>
      <c r="E14" s="16"/>
      <c r="F14" s="16" t="s">
        <v>245</v>
      </c>
      <c r="G14" s="117" t="s">
        <v>258</v>
      </c>
      <c r="H14" s="24"/>
      <c r="I14" s="37" t="s">
        <v>259</v>
      </c>
      <c r="J14" s="5"/>
      <c r="K14" s="38" t="s">
        <v>260</v>
      </c>
      <c r="L14" s="39"/>
    </row>
    <row r="15" spans="1:12" s="105" customFormat="1" x14ac:dyDescent="0.25">
      <c r="A15" s="15" t="s">
        <v>261</v>
      </c>
      <c r="B15" s="40" t="s">
        <v>214</v>
      </c>
      <c r="C15" s="55">
        <f>C4+C5</f>
        <v>3780.92</v>
      </c>
      <c r="D15" s="56">
        <f>D4+D5</f>
        <v>6148.3791000000001</v>
      </c>
      <c r="E15" s="41" t="s">
        <v>262</v>
      </c>
      <c r="F15" s="42">
        <f>G4</f>
        <v>881.01400000000001</v>
      </c>
      <c r="G15" s="118">
        <f>F15</f>
        <v>881.01400000000001</v>
      </c>
      <c r="H15" s="24"/>
      <c r="I15" s="44">
        <f>C15+F15</f>
        <v>4661.9340000000002</v>
      </c>
      <c r="J15" s="24"/>
      <c r="K15" s="45">
        <f>D15+G15</f>
        <v>7029.3931000000002</v>
      </c>
      <c r="L15" s="6"/>
    </row>
    <row r="16" spans="1:12" s="105" customFormat="1" x14ac:dyDescent="0.25">
      <c r="A16" s="7"/>
      <c r="B16" s="46" t="s">
        <v>263</v>
      </c>
      <c r="C16" s="36">
        <f>C6+C9</f>
        <v>12693.419999999998</v>
      </c>
      <c r="D16" s="26">
        <f>D6+D9</f>
        <v>12729.599999999999</v>
      </c>
      <c r="E16" s="44"/>
      <c r="F16" s="24">
        <f>G6</f>
        <v>1766.31</v>
      </c>
      <c r="G16" s="119">
        <f>G6</f>
        <v>1766.31</v>
      </c>
      <c r="H16" s="24"/>
      <c r="I16" s="44">
        <f>C16+F16</f>
        <v>14459.729999999998</v>
      </c>
      <c r="J16" s="24"/>
      <c r="K16" s="45">
        <f>D16+G16</f>
        <v>14495.909999999998</v>
      </c>
      <c r="L16" s="16"/>
    </row>
    <row r="17" spans="1:13" s="105" customFormat="1" x14ac:dyDescent="0.25">
      <c r="A17" s="7"/>
      <c r="B17" s="46" t="s">
        <v>264</v>
      </c>
      <c r="C17" s="36">
        <f>C7</f>
        <v>3304.66</v>
      </c>
      <c r="D17" s="26">
        <f>D7</f>
        <v>3358.77</v>
      </c>
      <c r="E17" s="44"/>
      <c r="F17" s="24">
        <f>G7</f>
        <v>3773.34</v>
      </c>
      <c r="G17" s="119">
        <f>G7</f>
        <v>3773.34</v>
      </c>
      <c r="H17" s="24"/>
      <c r="I17" s="44">
        <f>C17+F17</f>
        <v>7078</v>
      </c>
      <c r="J17" s="24"/>
      <c r="K17" s="45">
        <f>D17+G17</f>
        <v>7132.1100000000006</v>
      </c>
      <c r="L17" s="6"/>
      <c r="M17" s="6"/>
    </row>
    <row r="18" spans="1:13" s="105" customFormat="1" x14ac:dyDescent="0.25">
      <c r="A18" s="7"/>
      <c r="B18" s="46" t="s">
        <v>265</v>
      </c>
      <c r="C18" s="36">
        <f>C11</f>
        <v>227.22</v>
      </c>
      <c r="D18" s="26">
        <f>D11</f>
        <v>227.22</v>
      </c>
      <c r="E18" s="44"/>
      <c r="F18" s="24">
        <f>G11</f>
        <v>249.49</v>
      </c>
      <c r="G18" s="119">
        <f>G11</f>
        <v>249.49</v>
      </c>
      <c r="H18" s="24"/>
      <c r="I18" s="44">
        <f>C18+F18</f>
        <v>476.71000000000004</v>
      </c>
      <c r="J18" s="24"/>
      <c r="K18" s="45">
        <f>D18+G18</f>
        <v>476.71000000000004</v>
      </c>
      <c r="L18" s="6"/>
      <c r="M18" s="6"/>
    </row>
    <row r="19" spans="1:13" s="105" customFormat="1" x14ac:dyDescent="0.25">
      <c r="A19" s="44"/>
      <c r="B19" s="24" t="s">
        <v>266</v>
      </c>
      <c r="C19" s="47"/>
      <c r="D19" s="29">
        <f>D8+D10</f>
        <v>495.81999999999994</v>
      </c>
      <c r="E19" s="44"/>
      <c r="F19" s="48"/>
      <c r="G19" s="109">
        <v>730.32799999999997</v>
      </c>
      <c r="H19" s="24"/>
      <c r="I19" s="49"/>
      <c r="J19" s="24"/>
      <c r="K19" s="22">
        <f>D19+G19</f>
        <v>1226.1479999999999</v>
      </c>
      <c r="L19" s="6"/>
      <c r="M19" s="6"/>
    </row>
    <row r="20" spans="1:13" s="105" customFormat="1" ht="15.75" thickBot="1" x14ac:dyDescent="0.3">
      <c r="A20" s="50"/>
      <c r="B20" s="31"/>
      <c r="C20" s="51">
        <f>SUM(C15:C19)</f>
        <v>20006.219999999998</v>
      </c>
      <c r="D20" s="33">
        <f>SUM(D15:D19)</f>
        <v>22959.789099999998</v>
      </c>
      <c r="E20" s="50"/>
      <c r="F20" s="31">
        <f>SUM(F15:F19)</f>
        <v>6670.1540000000005</v>
      </c>
      <c r="G20" s="120">
        <f>SUM(G15:G19)</f>
        <v>7400.482</v>
      </c>
      <c r="H20" s="24"/>
      <c r="I20" s="50">
        <f>SUM(I15:I19)</f>
        <v>26676.373999999996</v>
      </c>
      <c r="J20" s="31"/>
      <c r="K20" s="52">
        <f>SUM(K15:K19)</f>
        <v>30360.271099999998</v>
      </c>
      <c r="L20" s="6"/>
      <c r="M20" s="6"/>
    </row>
    <row r="21" spans="1:13" s="105" customFormat="1" x14ac:dyDescent="0.25">
      <c r="A21" s="6" t="s">
        <v>267</v>
      </c>
      <c r="B21" s="16"/>
      <c r="C21" s="16"/>
      <c r="D21" s="121"/>
      <c r="E21" s="122">
        <f>D20+G20</f>
        <v>30360.271099999998</v>
      </c>
      <c r="F21" s="16"/>
      <c r="G21" s="123"/>
      <c r="H21" s="16"/>
      <c r="I21" s="16"/>
      <c r="J21" s="6"/>
      <c r="K21" s="124"/>
      <c r="L21" s="6"/>
      <c r="M21" s="16"/>
    </row>
    <row r="22" spans="1:13" s="105" customFormat="1" ht="15.75" thickBot="1" x14ac:dyDescent="0.3">
      <c r="A22" s="16" t="s">
        <v>268</v>
      </c>
      <c r="B22" s="6"/>
      <c r="C22" s="16"/>
      <c r="D22" s="121"/>
      <c r="E22" s="16">
        <f>+C12+G12</f>
        <v>26676.374000000003</v>
      </c>
      <c r="F22" s="16"/>
      <c r="G22" s="123"/>
      <c r="H22" s="16"/>
      <c r="I22" s="16"/>
      <c r="J22" s="6"/>
      <c r="K22" s="6"/>
      <c r="L22" s="6"/>
      <c r="M22" s="6"/>
    </row>
    <row r="23" spans="1:13" s="105" customFormat="1" x14ac:dyDescent="0.25">
      <c r="A23" s="15" t="s">
        <v>269</v>
      </c>
      <c r="B23" s="54"/>
      <c r="C23" s="55" t="s">
        <v>261</v>
      </c>
      <c r="D23" s="125" t="s">
        <v>262</v>
      </c>
      <c r="E23" s="43" t="s">
        <v>270</v>
      </c>
      <c r="F23" s="525" t="s">
        <v>304</v>
      </c>
      <c r="G23" s="526"/>
      <c r="H23" s="526"/>
      <c r="I23" s="527"/>
      <c r="J23" s="6"/>
      <c r="K23" s="6"/>
      <c r="L23" s="6"/>
      <c r="M23" s="6"/>
    </row>
    <row r="24" spans="1:13" s="105" customFormat="1" x14ac:dyDescent="0.25">
      <c r="A24" s="57" t="s">
        <v>271</v>
      </c>
      <c r="B24" s="58"/>
      <c r="C24" s="47"/>
      <c r="D24" s="126"/>
      <c r="E24" s="22" t="s">
        <v>272</v>
      </c>
      <c r="F24" s="49" t="s">
        <v>273</v>
      </c>
      <c r="G24" s="127" t="s">
        <v>274</v>
      </c>
      <c r="H24" s="48"/>
      <c r="I24" s="22"/>
      <c r="J24" s="6"/>
      <c r="K24" s="6"/>
      <c r="L24" s="6"/>
      <c r="M24" s="6"/>
    </row>
    <row r="25" spans="1:13" s="105" customFormat="1" x14ac:dyDescent="0.25">
      <c r="A25" s="7" t="s">
        <v>275</v>
      </c>
      <c r="B25" s="5"/>
      <c r="C25" s="36">
        <v>1799.59</v>
      </c>
      <c r="D25" s="36"/>
      <c r="E25" s="45">
        <f t="shared" ref="E25:E34" si="0">SUM(C25:D25)</f>
        <v>1799.59</v>
      </c>
      <c r="F25" s="44"/>
      <c r="G25" s="128" t="s">
        <v>275</v>
      </c>
      <c r="H25" s="24"/>
      <c r="I25" s="45">
        <f>E25</f>
        <v>1799.59</v>
      </c>
      <c r="J25" s="6"/>
      <c r="K25" s="6"/>
      <c r="L25" s="6"/>
      <c r="M25" s="6"/>
    </row>
    <row r="26" spans="1:13" s="105" customFormat="1" x14ac:dyDescent="0.25">
      <c r="A26" s="7" t="s">
        <v>305</v>
      </c>
      <c r="B26" s="5"/>
      <c r="C26" s="36">
        <v>1494.11</v>
      </c>
      <c r="D26" s="36"/>
      <c r="E26" s="45">
        <f t="shared" si="0"/>
        <v>1494.11</v>
      </c>
      <c r="F26" s="44"/>
      <c r="G26" s="128" t="s">
        <v>276</v>
      </c>
      <c r="H26" s="24"/>
      <c r="I26" s="45">
        <f>E27</f>
        <v>8484.84</v>
      </c>
      <c r="J26" s="6"/>
      <c r="K26" s="6"/>
      <c r="L26" s="6"/>
      <c r="M26" s="6"/>
    </row>
    <row r="27" spans="1:13" s="105" customFormat="1" x14ac:dyDescent="0.25">
      <c r="A27" s="7" t="s">
        <v>276</v>
      </c>
      <c r="B27" s="5"/>
      <c r="C27" s="36">
        <v>8484.84</v>
      </c>
      <c r="D27" s="36"/>
      <c r="E27" s="45">
        <f t="shared" si="0"/>
        <v>8484.84</v>
      </c>
      <c r="F27" s="44"/>
      <c r="G27" s="128" t="s">
        <v>277</v>
      </c>
      <c r="H27" s="24"/>
      <c r="I27" s="45">
        <f>E29</f>
        <v>32.6</v>
      </c>
      <c r="J27" s="6"/>
      <c r="K27" s="6"/>
      <c r="L27" s="6"/>
      <c r="M27" s="6"/>
    </row>
    <row r="28" spans="1:13" s="105" customFormat="1" x14ac:dyDescent="0.25">
      <c r="A28" s="7" t="s">
        <v>306</v>
      </c>
      <c r="B28" s="5"/>
      <c r="C28" s="36">
        <v>502.65</v>
      </c>
      <c r="D28" s="36"/>
      <c r="E28" s="45">
        <f t="shared" si="0"/>
        <v>502.65</v>
      </c>
      <c r="F28" s="44"/>
      <c r="G28" s="128" t="s">
        <v>307</v>
      </c>
      <c r="H28" s="24"/>
      <c r="I28" s="45">
        <f>E26+E28+E30+E32+E33+E37</f>
        <v>7233.24</v>
      </c>
      <c r="J28" s="6"/>
      <c r="K28" s="59"/>
      <c r="L28" s="16"/>
      <c r="M28" s="6"/>
    </row>
    <row r="29" spans="1:13" s="105" customFormat="1" x14ac:dyDescent="0.25">
      <c r="A29" s="7" t="s">
        <v>278</v>
      </c>
      <c r="B29" s="5"/>
      <c r="C29" s="36">
        <v>32.6</v>
      </c>
      <c r="D29" s="36"/>
      <c r="E29" s="45">
        <f t="shared" si="0"/>
        <v>32.6</v>
      </c>
      <c r="F29" s="44"/>
      <c r="G29" s="128" t="s">
        <v>279</v>
      </c>
      <c r="H29" s="24"/>
      <c r="I29" s="45">
        <f>E31</f>
        <v>182.3</v>
      </c>
      <c r="J29" s="6"/>
      <c r="K29" s="6"/>
      <c r="L29" s="6"/>
      <c r="M29" s="6"/>
    </row>
    <row r="30" spans="1:13" s="105" customFormat="1" x14ac:dyDescent="0.25">
      <c r="A30" s="7" t="s">
        <v>308</v>
      </c>
      <c r="B30" s="5"/>
      <c r="C30" s="36">
        <v>1510.51</v>
      </c>
      <c r="D30" s="36">
        <v>2212.23</v>
      </c>
      <c r="E30" s="45">
        <f t="shared" si="0"/>
        <v>3722.74</v>
      </c>
      <c r="F30" s="44"/>
      <c r="G30" s="128" t="s">
        <v>280</v>
      </c>
      <c r="H30" s="24"/>
      <c r="I30" s="45">
        <f>E34</f>
        <v>2157.06</v>
      </c>
      <c r="J30" s="6"/>
      <c r="K30" s="6"/>
      <c r="L30" s="6"/>
      <c r="M30" s="6"/>
    </row>
    <row r="31" spans="1:13" s="105" customFormat="1" x14ac:dyDescent="0.25">
      <c r="A31" s="7" t="s">
        <v>279</v>
      </c>
      <c r="B31" s="5"/>
      <c r="C31" s="36">
        <v>182.3</v>
      </c>
      <c r="D31" s="36"/>
      <c r="E31" s="45">
        <f t="shared" si="0"/>
        <v>182.3</v>
      </c>
      <c r="F31" s="44"/>
      <c r="G31" s="128" t="s">
        <v>281</v>
      </c>
      <c r="H31" s="24"/>
      <c r="I31" s="45">
        <f>E35</f>
        <v>1766.31</v>
      </c>
      <c r="J31" s="6"/>
      <c r="K31" s="6"/>
      <c r="L31" s="6"/>
      <c r="M31" s="6"/>
    </row>
    <row r="32" spans="1:13" s="105" customFormat="1" ht="15.75" thickBot="1" x14ac:dyDescent="0.3">
      <c r="A32" s="7" t="s">
        <v>309</v>
      </c>
      <c r="B32" s="5"/>
      <c r="C32" s="36"/>
      <c r="D32" s="36">
        <v>1276.97</v>
      </c>
      <c r="E32" s="45">
        <f t="shared" si="0"/>
        <v>1276.97</v>
      </c>
      <c r="F32" s="44"/>
      <c r="G32" s="128" t="s">
        <v>282</v>
      </c>
      <c r="H32" s="24"/>
      <c r="I32" s="52">
        <f>E36</f>
        <v>253.61</v>
      </c>
      <c r="J32" s="6"/>
      <c r="K32" s="6"/>
      <c r="L32" s="6"/>
      <c r="M32" s="6"/>
    </row>
    <row r="33" spans="1:14" x14ac:dyDescent="0.25">
      <c r="A33" s="7" t="s">
        <v>310</v>
      </c>
      <c r="B33" s="5"/>
      <c r="C33" s="36"/>
      <c r="D33" s="36">
        <v>100.75</v>
      </c>
      <c r="E33" s="45"/>
      <c r="F33" s="44"/>
      <c r="G33" s="128"/>
      <c r="H33" s="24"/>
      <c r="I33" s="45">
        <f>SUM(I25:I32)</f>
        <v>21909.550000000003</v>
      </c>
    </row>
    <row r="34" spans="1:14" x14ac:dyDescent="0.25">
      <c r="A34" s="7" t="s">
        <v>280</v>
      </c>
      <c r="B34" s="5"/>
      <c r="C34" s="36">
        <v>2157.06</v>
      </c>
      <c r="D34" s="36"/>
      <c r="E34" s="45">
        <f t="shared" si="0"/>
        <v>2157.06</v>
      </c>
      <c r="F34" s="44"/>
      <c r="G34" s="128"/>
      <c r="H34" s="24"/>
      <c r="I34" s="45"/>
    </row>
    <row r="35" spans="1:14" x14ac:dyDescent="0.25">
      <c r="A35" s="7" t="s">
        <v>281</v>
      </c>
      <c r="B35" s="5"/>
      <c r="C35" s="36"/>
      <c r="D35" s="129">
        <v>1766.31</v>
      </c>
      <c r="E35" s="130">
        <f>SUM(D35)</f>
        <v>1766.31</v>
      </c>
      <c r="F35" s="60"/>
      <c r="G35" s="128"/>
      <c r="H35" s="24"/>
      <c r="I35" s="45"/>
    </row>
    <row r="36" spans="1:14" x14ac:dyDescent="0.25">
      <c r="A36" s="7" t="s">
        <v>283</v>
      </c>
      <c r="B36" s="5"/>
      <c r="C36" s="36"/>
      <c r="D36" s="36">
        <v>253.61</v>
      </c>
      <c r="E36" s="45">
        <f>SUM(C36:D36)</f>
        <v>253.61</v>
      </c>
      <c r="F36" s="44"/>
      <c r="G36" s="128"/>
      <c r="H36" s="24"/>
      <c r="I36" s="45"/>
    </row>
    <row r="37" spans="1:14" x14ac:dyDescent="0.25">
      <c r="A37" s="7" t="s">
        <v>311</v>
      </c>
      <c r="B37" s="5"/>
      <c r="C37" s="47">
        <v>12.6</v>
      </c>
      <c r="D37" s="47">
        <v>224.17</v>
      </c>
      <c r="E37" s="22">
        <f>SUM(C37:D37)</f>
        <v>236.76999999999998</v>
      </c>
      <c r="F37" s="44"/>
      <c r="G37" s="128"/>
      <c r="H37" s="24"/>
      <c r="I37" s="45"/>
      <c r="M37" s="35"/>
      <c r="N37" s="35"/>
    </row>
    <row r="38" spans="1:14" ht="15.75" thickBot="1" x14ac:dyDescent="0.3">
      <c r="A38" s="61"/>
      <c r="B38" s="53"/>
      <c r="C38" s="51">
        <f>SUM(C25:C37)</f>
        <v>16176.26</v>
      </c>
      <c r="D38" s="51">
        <f>SUM(D30:D37)</f>
        <v>5834.04</v>
      </c>
      <c r="E38" s="52">
        <f>SUM(E25:E37)</f>
        <v>21909.550000000003</v>
      </c>
      <c r="F38" s="50"/>
      <c r="G38" s="131"/>
      <c r="H38" s="31"/>
      <c r="I38" s="52"/>
    </row>
    <row r="39" spans="1:14" x14ac:dyDescent="0.25">
      <c r="A39" s="7" t="s">
        <v>284</v>
      </c>
      <c r="C39" s="35"/>
      <c r="D39" s="116"/>
    </row>
    <row r="40" spans="1:14" x14ac:dyDescent="0.25">
      <c r="C40" s="35"/>
      <c r="D40" s="116"/>
    </row>
    <row r="41" spans="1:14" x14ac:dyDescent="0.25">
      <c r="C41" s="35"/>
      <c r="D41" s="116"/>
    </row>
    <row r="42" spans="1:14" x14ac:dyDescent="0.25">
      <c r="C42" s="35"/>
      <c r="D42" s="116"/>
    </row>
    <row r="44" spans="1:14" x14ac:dyDescent="0.25">
      <c r="C44" s="35"/>
      <c r="D44" s="116"/>
    </row>
    <row r="45" spans="1:14" x14ac:dyDescent="0.25">
      <c r="C45" s="35"/>
      <c r="D45" s="116"/>
    </row>
    <row r="46" spans="1:14" x14ac:dyDescent="0.25">
      <c r="C46" s="35"/>
      <c r="D46" s="116"/>
    </row>
    <row r="47" spans="1:14" x14ac:dyDescent="0.25">
      <c r="C47" s="35"/>
      <c r="D47" s="116"/>
    </row>
    <row r="48" spans="1:14" x14ac:dyDescent="0.25">
      <c r="C48" s="35"/>
      <c r="D48" s="116"/>
    </row>
    <row r="49" spans="3:5" s="105" customFormat="1" x14ac:dyDescent="0.25">
      <c r="C49" s="36"/>
      <c r="D49" s="132"/>
      <c r="E49" s="24"/>
    </row>
    <row r="50" spans="3:5" s="105" customFormat="1" x14ac:dyDescent="0.25">
      <c r="C50" s="35"/>
      <c r="D50" s="116"/>
      <c r="E50" s="16"/>
    </row>
  </sheetData>
  <mergeCells count="6">
    <mergeCell ref="F23:I23"/>
    <mergeCell ref="A1:K1"/>
    <mergeCell ref="B2:D2"/>
    <mergeCell ref="A3:B3"/>
    <mergeCell ref="A13:G13"/>
    <mergeCell ref="I13:K13"/>
  </mergeCells>
  <pageMargins left="0" right="0" top="0.5" bottom="0.5" header="0.3" footer="0.3"/>
  <pageSetup scale="94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42"/>
  <sheetViews>
    <sheetView view="pageLayout" zoomScaleNormal="100" workbookViewId="0">
      <selection activeCell="J6" sqref="J6"/>
    </sheetView>
  </sheetViews>
  <sheetFormatPr defaultRowHeight="12.75" x14ac:dyDescent="0.25"/>
  <cols>
    <col min="1" max="1" width="8.140625" style="390" customWidth="1"/>
    <col min="2" max="2" width="12.7109375" style="390" customWidth="1"/>
    <col min="3" max="3" width="5.85546875" style="390" customWidth="1"/>
    <col min="4" max="4" width="16" style="390" customWidth="1"/>
    <col min="5" max="5" width="7.140625" style="390" customWidth="1"/>
    <col min="6" max="6" width="1.140625" style="390" customWidth="1"/>
    <col min="7" max="7" width="12.28515625" style="390" bestFit="1" customWidth="1"/>
    <col min="8" max="8" width="7.42578125" style="390" customWidth="1"/>
    <col min="9" max="9" width="1.28515625" style="390" customWidth="1"/>
    <col min="10" max="10" width="12.28515625" style="390" bestFit="1" customWidth="1"/>
    <col min="11" max="11" width="7.42578125" style="390" customWidth="1"/>
    <col min="12" max="12" width="1.28515625" style="390" customWidth="1"/>
    <col min="13" max="13" width="12.28515625" style="390" bestFit="1" customWidth="1"/>
    <col min="14" max="14" width="8.28515625" style="390" customWidth="1"/>
    <col min="15" max="15" width="1.28515625" style="390" customWidth="1"/>
    <col min="16" max="16" width="11.42578125" style="390" bestFit="1" customWidth="1"/>
    <col min="17" max="17" width="7.28515625" style="390" customWidth="1"/>
    <col min="18" max="18" width="1.28515625" style="390" customWidth="1"/>
    <col min="19" max="19" width="11.5703125" style="430" customWidth="1"/>
    <col min="20" max="20" width="9.85546875" style="390" bestFit="1" customWidth="1"/>
    <col min="21" max="21" width="9.28515625" style="390" bestFit="1" customWidth="1"/>
    <col min="22" max="23" width="9.28515625" style="390" customWidth="1"/>
    <col min="24" max="26" width="9.28515625" style="390" bestFit="1" customWidth="1"/>
    <col min="27" max="16384" width="9.140625" style="390"/>
  </cols>
  <sheetData>
    <row r="1" spans="1:26" ht="13.5" thickBot="1" x14ac:dyDescent="0.3">
      <c r="A1" s="382"/>
      <c r="B1" s="383"/>
      <c r="C1" s="383"/>
      <c r="D1" s="383"/>
      <c r="E1" s="384"/>
      <c r="F1" s="385"/>
      <c r="G1" s="546" t="s">
        <v>324</v>
      </c>
      <c r="H1" s="539"/>
      <c r="I1" s="539"/>
      <c r="J1" s="539"/>
      <c r="K1" s="539"/>
      <c r="L1" s="539"/>
      <c r="M1" s="539"/>
      <c r="N1" s="539"/>
      <c r="O1" s="539"/>
      <c r="P1" s="539"/>
      <c r="Q1" s="539"/>
      <c r="R1" s="386"/>
      <c r="S1" s="387"/>
      <c r="T1" s="388" t="s">
        <v>6</v>
      </c>
      <c r="U1" s="388" t="s">
        <v>5</v>
      </c>
      <c r="V1" s="389" t="s">
        <v>6</v>
      </c>
      <c r="W1" s="389" t="s">
        <v>565</v>
      </c>
      <c r="X1" s="547" t="s">
        <v>210</v>
      </c>
      <c r="Y1" s="547"/>
      <c r="Z1" s="548"/>
    </row>
    <row r="2" spans="1:26" x14ac:dyDescent="0.25">
      <c r="A2" s="391"/>
      <c r="B2" s="392"/>
      <c r="C2" s="392"/>
      <c r="D2" s="392"/>
      <c r="E2" s="393"/>
      <c r="F2" s="394"/>
      <c r="G2" s="549" t="s">
        <v>605</v>
      </c>
      <c r="H2" s="550"/>
      <c r="I2" s="395"/>
      <c r="J2" s="550" t="s">
        <v>600</v>
      </c>
      <c r="K2" s="550"/>
      <c r="L2" s="395"/>
      <c r="M2" s="549"/>
      <c r="N2" s="551"/>
      <c r="O2" s="395"/>
      <c r="P2" s="552"/>
      <c r="Q2" s="553"/>
      <c r="R2" s="395"/>
      <c r="S2" s="396"/>
      <c r="T2" s="397"/>
      <c r="U2" s="397"/>
      <c r="V2" s="389"/>
      <c r="W2" s="389"/>
      <c r="X2" s="8" t="s">
        <v>211</v>
      </c>
      <c r="Y2" s="8" t="s">
        <v>212</v>
      </c>
      <c r="Z2" s="9" t="s">
        <v>213</v>
      </c>
    </row>
    <row r="3" spans="1:26" x14ac:dyDescent="0.25">
      <c r="A3" s="391"/>
      <c r="B3" s="398"/>
      <c r="C3" s="398"/>
      <c r="D3" s="397"/>
      <c r="E3" s="397"/>
      <c r="F3" s="394"/>
      <c r="G3" s="537" t="s">
        <v>603</v>
      </c>
      <c r="H3" s="538"/>
      <c r="I3" s="394"/>
      <c r="J3" s="538" t="str">
        <f>G3</f>
        <v>less original CCF</v>
      </c>
      <c r="K3" s="539"/>
      <c r="L3" s="394"/>
      <c r="M3" s="540"/>
      <c r="N3" s="541"/>
      <c r="O3" s="394"/>
      <c r="P3" s="539"/>
      <c r="Q3" s="541"/>
      <c r="R3" s="394"/>
      <c r="S3" s="399" t="s">
        <v>214</v>
      </c>
      <c r="T3" s="400">
        <f>E17</f>
        <v>67.182984834607112</v>
      </c>
      <c r="U3" s="400">
        <v>76.97</v>
      </c>
      <c r="V3" s="389">
        <v>71.33</v>
      </c>
      <c r="W3" s="389"/>
      <c r="X3" s="10">
        <f>U3-T3</f>
        <v>9.7870151653928872</v>
      </c>
      <c r="Y3" s="10">
        <f>U3-K17</f>
        <v>5.1923515818555899</v>
      </c>
      <c r="Z3" s="11">
        <f>U3-N17</f>
        <v>76.97</v>
      </c>
    </row>
    <row r="4" spans="1:26" ht="15.75" customHeight="1" thickBot="1" x14ac:dyDescent="0.3">
      <c r="A4" s="391"/>
      <c r="B4" s="398"/>
      <c r="C4" s="398"/>
      <c r="D4" s="397" t="s">
        <v>599</v>
      </c>
      <c r="E4" s="397"/>
      <c r="F4" s="394"/>
      <c r="G4" s="542" t="s">
        <v>602</v>
      </c>
      <c r="H4" s="543"/>
      <c r="I4" s="401"/>
      <c r="J4" s="544" t="s">
        <v>604</v>
      </c>
      <c r="K4" s="545"/>
      <c r="L4" s="401"/>
      <c r="M4" s="544"/>
      <c r="N4" s="545"/>
      <c r="O4" s="401"/>
      <c r="P4" s="402"/>
      <c r="Q4" s="403"/>
      <c r="R4" s="401"/>
      <c r="S4" s="399" t="s">
        <v>215</v>
      </c>
      <c r="T4" s="400">
        <f>E23</f>
        <v>25.70593128789513</v>
      </c>
      <c r="U4" s="400">
        <v>28.29</v>
      </c>
      <c r="V4" s="389">
        <v>26.78</v>
      </c>
      <c r="W4" s="389"/>
      <c r="X4" s="10">
        <f>U4-T4</f>
        <v>2.5840687121048695</v>
      </c>
      <c r="Y4" s="10">
        <f>U4-K23</f>
        <v>1.3316180767601011</v>
      </c>
      <c r="Z4" s="11">
        <f>U4-N23</f>
        <v>28.29</v>
      </c>
    </row>
    <row r="5" spans="1:26" x14ac:dyDescent="0.25">
      <c r="A5" s="391"/>
      <c r="B5" s="404">
        <v>1593854.75</v>
      </c>
      <c r="C5" s="404"/>
      <c r="D5" s="392" t="s">
        <v>216</v>
      </c>
      <c r="E5" s="397"/>
      <c r="F5" s="394"/>
      <c r="G5" s="400">
        <f t="shared" ref="G5:G10" si="0">B5</f>
        <v>1593854.75</v>
      </c>
      <c r="H5" s="397"/>
      <c r="I5" s="394"/>
      <c r="J5" s="405">
        <f>1633854.75</f>
        <v>1633854.75</v>
      </c>
      <c r="K5" s="397"/>
      <c r="L5" s="394"/>
      <c r="M5" s="400"/>
      <c r="N5" s="397"/>
      <c r="O5" s="394"/>
      <c r="P5" s="406"/>
      <c r="Q5" s="400"/>
      <c r="R5" s="394"/>
      <c r="S5" s="399" t="s">
        <v>217</v>
      </c>
      <c r="T5" s="400">
        <f>E27</f>
        <v>5.2058968550437976</v>
      </c>
      <c r="U5" s="400">
        <v>5.87</v>
      </c>
      <c r="V5" s="389">
        <v>5.44</v>
      </c>
      <c r="W5" s="389"/>
      <c r="X5" s="10">
        <f>U5-T5</f>
        <v>0.66410314495620248</v>
      </c>
      <c r="Y5" s="10">
        <f>U5-K27</f>
        <v>0.30807036733540549</v>
      </c>
      <c r="Z5" s="11">
        <f>U5-N27</f>
        <v>5.87</v>
      </c>
    </row>
    <row r="6" spans="1:26" ht="13.5" thickBot="1" x14ac:dyDescent="0.3">
      <c r="A6" s="391"/>
      <c r="B6" s="407">
        <f>-893876.37</f>
        <v>-893876.37</v>
      </c>
      <c r="C6" s="407"/>
      <c r="D6" s="392" t="s">
        <v>563</v>
      </c>
      <c r="E6" s="397"/>
      <c r="F6" s="394"/>
      <c r="G6" s="408">
        <f t="shared" si="0"/>
        <v>-893876.37</v>
      </c>
      <c r="H6" s="397"/>
      <c r="I6" s="394"/>
      <c r="J6" s="408">
        <f>B6</f>
        <v>-893876.37</v>
      </c>
      <c r="K6" s="397"/>
      <c r="L6" s="394"/>
      <c r="M6" s="407"/>
      <c r="N6" s="397"/>
      <c r="O6" s="394"/>
      <c r="P6" s="409"/>
      <c r="Q6" s="400"/>
      <c r="R6" s="394"/>
      <c r="S6" s="410" t="s">
        <v>218</v>
      </c>
      <c r="T6" s="411">
        <f>E29</f>
        <v>0</v>
      </c>
      <c r="U6" s="411">
        <f>U3/2</f>
        <v>38.484999999999999</v>
      </c>
      <c r="V6" s="389">
        <v>35.659999999999997</v>
      </c>
      <c r="W6" s="389"/>
      <c r="X6" s="12">
        <f>U6-T6</f>
        <v>38.484999999999999</v>
      </c>
      <c r="Y6" s="12">
        <f>U6-K30</f>
        <v>2.5961757909277949</v>
      </c>
      <c r="Z6" s="13">
        <f>U6-N29</f>
        <v>38.484999999999999</v>
      </c>
    </row>
    <row r="7" spans="1:26" x14ac:dyDescent="0.25">
      <c r="A7" s="391"/>
      <c r="B7" s="412">
        <v>-8500</v>
      </c>
      <c r="C7" s="412"/>
      <c r="D7" s="392" t="s">
        <v>566</v>
      </c>
      <c r="E7" s="397"/>
      <c r="F7" s="394"/>
      <c r="G7" s="408">
        <f t="shared" si="0"/>
        <v>-8500</v>
      </c>
      <c r="H7" s="397"/>
      <c r="I7" s="394"/>
      <c r="J7" s="408">
        <f>B7</f>
        <v>-8500</v>
      </c>
      <c r="K7" s="397"/>
      <c r="L7" s="394"/>
      <c r="M7" s="412"/>
      <c r="N7" s="397"/>
      <c r="O7" s="394"/>
      <c r="P7" s="408"/>
      <c r="Q7" s="400"/>
      <c r="R7" s="394"/>
      <c r="S7" s="413"/>
      <c r="T7" s="300"/>
      <c r="U7" s="300"/>
      <c r="V7" s="300"/>
      <c r="W7" s="300"/>
      <c r="X7" s="300"/>
      <c r="Y7" s="300"/>
      <c r="Z7" s="300"/>
    </row>
    <row r="8" spans="1:26" x14ac:dyDescent="0.25">
      <c r="A8" s="391"/>
      <c r="B8" s="404">
        <f>SUM(B5:B7)</f>
        <v>691478.38</v>
      </c>
      <c r="C8" s="404"/>
      <c r="D8" s="392" t="s">
        <v>219</v>
      </c>
      <c r="E8" s="397"/>
      <c r="F8" s="394"/>
      <c r="G8" s="400">
        <f t="shared" si="0"/>
        <v>691478.38</v>
      </c>
      <c r="H8" s="397"/>
      <c r="I8" s="394"/>
      <c r="J8" s="400">
        <f>SUM(J5:J7)</f>
        <v>731478.38</v>
      </c>
      <c r="K8" s="397"/>
      <c r="L8" s="394"/>
      <c r="M8" s="404"/>
      <c r="N8" s="397"/>
      <c r="O8" s="394"/>
      <c r="P8" s="400"/>
      <c r="Q8" s="400"/>
      <c r="R8" s="394"/>
      <c r="S8" s="413" t="s">
        <v>323</v>
      </c>
      <c r="T8" s="300"/>
      <c r="U8" s="300"/>
      <c r="V8" s="300"/>
      <c r="W8" s="300"/>
      <c r="X8" s="414"/>
      <c r="Y8" s="300"/>
      <c r="Z8" s="300"/>
    </row>
    <row r="9" spans="1:26" x14ac:dyDescent="0.25">
      <c r="A9" s="415" t="s">
        <v>597</v>
      </c>
      <c r="B9" s="412">
        <v>-106600</v>
      </c>
      <c r="C9" s="412"/>
      <c r="D9" s="392" t="s">
        <v>375</v>
      </c>
      <c r="E9" s="397"/>
      <c r="F9" s="394"/>
      <c r="G9" s="408">
        <f t="shared" si="0"/>
        <v>-106600</v>
      </c>
      <c r="H9" s="397"/>
      <c r="I9" s="394"/>
      <c r="J9" s="408">
        <f>B9</f>
        <v>-106600</v>
      </c>
      <c r="K9" s="397"/>
      <c r="L9" s="394"/>
      <c r="M9" s="412"/>
      <c r="N9" s="397"/>
      <c r="O9" s="394"/>
      <c r="P9" s="408"/>
      <c r="Q9" s="400"/>
      <c r="R9" s="394"/>
      <c r="S9" s="416"/>
      <c r="T9" s="400"/>
      <c r="U9" s="417"/>
      <c r="V9" s="417"/>
      <c r="W9" s="417"/>
      <c r="X9" s="414"/>
      <c r="Y9" s="300"/>
      <c r="Z9" s="300"/>
    </row>
    <row r="10" spans="1:26" x14ac:dyDescent="0.25">
      <c r="A10" s="391"/>
      <c r="B10" s="404">
        <f>SUM(B8:B9)</f>
        <v>584878.38</v>
      </c>
      <c r="C10" s="404"/>
      <c r="D10" s="392" t="s">
        <v>220</v>
      </c>
      <c r="E10" s="397"/>
      <c r="F10" s="394"/>
      <c r="G10" s="400">
        <f t="shared" si="0"/>
        <v>584878.38</v>
      </c>
      <c r="H10" s="397"/>
      <c r="I10" s="394"/>
      <c r="J10" s="400">
        <f>SUM(J8:J9)</f>
        <v>624878.38</v>
      </c>
      <c r="K10" s="397"/>
      <c r="L10" s="394"/>
      <c r="M10" s="404"/>
      <c r="N10" s="397"/>
      <c r="O10" s="394"/>
      <c r="P10" s="400"/>
      <c r="Q10" s="400"/>
      <c r="R10" s="394"/>
      <c r="S10" s="418"/>
      <c r="T10" s="417" t="s">
        <v>316</v>
      </c>
      <c r="U10" s="417"/>
      <c r="V10" s="417"/>
      <c r="W10" s="417"/>
      <c r="X10" s="300"/>
      <c r="Y10" s="300"/>
      <c r="Z10" s="300"/>
    </row>
    <row r="11" spans="1:26" x14ac:dyDescent="0.25">
      <c r="A11" s="391"/>
      <c r="B11" s="412" t="s">
        <v>221</v>
      </c>
      <c r="C11" s="412"/>
      <c r="D11" s="392" t="s">
        <v>222</v>
      </c>
      <c r="E11" s="397"/>
      <c r="F11" s="394"/>
      <c r="G11" s="412" t="s">
        <v>221</v>
      </c>
      <c r="H11" s="397"/>
      <c r="I11" s="394"/>
      <c r="J11" s="412" t="str">
        <f>B11</f>
        <v>÷ 95%</v>
      </c>
      <c r="K11" s="397"/>
      <c r="L11" s="394"/>
      <c r="M11" s="412"/>
      <c r="N11" s="397"/>
      <c r="O11" s="394"/>
      <c r="P11" s="412"/>
      <c r="Q11" s="400"/>
      <c r="R11" s="394"/>
      <c r="S11" s="418" t="s">
        <v>318</v>
      </c>
      <c r="T11" s="419">
        <f>D17</f>
        <v>4661.93</v>
      </c>
      <c r="U11" s="420">
        <f>T11/T15</f>
        <v>0.17502122098469125</v>
      </c>
      <c r="V11" s="420"/>
      <c r="W11" s="420"/>
      <c r="X11" s="414"/>
      <c r="Y11" s="300"/>
      <c r="Z11" s="300"/>
    </row>
    <row r="12" spans="1:26" x14ac:dyDescent="0.25">
      <c r="A12" s="391"/>
      <c r="B12" s="404">
        <f>B10*105%</f>
        <v>614122.299</v>
      </c>
      <c r="C12" s="404"/>
      <c r="D12" s="421" t="s">
        <v>223</v>
      </c>
      <c r="E12" s="397"/>
      <c r="F12" s="394"/>
      <c r="G12" s="400">
        <f>B12</f>
        <v>614122.299</v>
      </c>
      <c r="H12" s="397"/>
      <c r="I12" s="394"/>
      <c r="J12" s="400">
        <f>J10*105%</f>
        <v>656122.299</v>
      </c>
      <c r="K12" s="397"/>
      <c r="L12" s="394"/>
      <c r="M12" s="404"/>
      <c r="N12" s="397"/>
      <c r="O12" s="394"/>
      <c r="P12" s="400"/>
      <c r="Q12" s="400"/>
      <c r="R12" s="394"/>
      <c r="S12" s="418" t="s">
        <v>319</v>
      </c>
      <c r="T12" s="419">
        <f>D23</f>
        <v>14419.73</v>
      </c>
      <c r="U12" s="420">
        <f>T12/T15</f>
        <v>0.54135492186059886</v>
      </c>
      <c r="V12" s="420"/>
      <c r="W12" s="420"/>
      <c r="X12" s="414"/>
      <c r="Y12" s="300"/>
      <c r="Z12" s="300"/>
    </row>
    <row r="13" spans="1:26" x14ac:dyDescent="0.25">
      <c r="A13" s="391"/>
      <c r="B13" s="398"/>
      <c r="C13" s="398"/>
      <c r="D13" s="397"/>
      <c r="E13" s="397"/>
      <c r="F13" s="394"/>
      <c r="G13" s="400"/>
      <c r="H13" s="397"/>
      <c r="I13" s="394"/>
      <c r="J13" s="397"/>
      <c r="K13" s="397"/>
      <c r="L13" s="394"/>
      <c r="M13" s="398"/>
      <c r="N13" s="397"/>
      <c r="O13" s="394"/>
      <c r="P13" s="400"/>
      <c r="Q13" s="400"/>
      <c r="R13" s="394"/>
      <c r="S13" s="418" t="s">
        <v>320</v>
      </c>
      <c r="T13" s="419">
        <f>D27</f>
        <v>7078</v>
      </c>
      <c r="U13" s="420">
        <f>T13/T15</f>
        <v>0.26572689897309582</v>
      </c>
      <c r="V13" s="420"/>
      <c r="W13" s="420"/>
      <c r="X13" s="414"/>
      <c r="Y13" s="300"/>
      <c r="Z13" s="300"/>
    </row>
    <row r="14" spans="1:26" ht="13.5" thickBot="1" x14ac:dyDescent="0.3">
      <c r="A14" s="391"/>
      <c r="B14" s="398"/>
      <c r="C14" s="398"/>
      <c r="D14" s="397"/>
      <c r="E14" s="397"/>
      <c r="F14" s="394"/>
      <c r="G14" s="400"/>
      <c r="H14" s="397"/>
      <c r="I14" s="394"/>
      <c r="J14" s="397"/>
      <c r="K14" s="397"/>
      <c r="L14" s="394"/>
      <c r="M14" s="398"/>
      <c r="N14" s="397"/>
      <c r="O14" s="394"/>
      <c r="P14" s="400"/>
      <c r="Q14" s="400"/>
      <c r="R14" s="394"/>
      <c r="S14" s="418" t="s">
        <v>321</v>
      </c>
      <c r="T14" s="422">
        <f>D30</f>
        <v>476.71</v>
      </c>
      <c r="U14" s="423">
        <f>T14/T15</f>
        <v>1.7896958181614086E-2</v>
      </c>
      <c r="V14" s="424"/>
      <c r="W14" s="424"/>
      <c r="X14" s="300"/>
      <c r="Y14" s="300"/>
      <c r="Z14" s="300"/>
    </row>
    <row r="15" spans="1:26" ht="13.5" thickTop="1" x14ac:dyDescent="0.25">
      <c r="A15" s="425" t="s">
        <v>224</v>
      </c>
      <c r="B15" s="404">
        <f>B12</f>
        <v>614122.299</v>
      </c>
      <c r="C15" s="404"/>
      <c r="D15" s="392" t="s">
        <v>223</v>
      </c>
      <c r="E15" s="397"/>
      <c r="F15" s="394"/>
      <c r="G15" s="400">
        <f>B12</f>
        <v>614122.299</v>
      </c>
      <c r="H15" s="397"/>
      <c r="I15" s="394"/>
      <c r="J15" s="400">
        <f>J12</f>
        <v>656122.299</v>
      </c>
      <c r="K15" s="397"/>
      <c r="L15" s="394"/>
      <c r="M15" s="404"/>
      <c r="N15" s="397"/>
      <c r="O15" s="394"/>
      <c r="P15" s="400"/>
      <c r="Q15" s="400"/>
      <c r="R15" s="394"/>
      <c r="S15" s="418"/>
      <c r="T15" s="419">
        <f>SUM(T11:T14)</f>
        <v>26636.37</v>
      </c>
      <c r="U15" s="420">
        <f>SUM(U11:U14)</f>
        <v>1.0000000000000002</v>
      </c>
      <c r="V15" s="420"/>
      <c r="W15" s="420"/>
      <c r="X15" s="414"/>
      <c r="Y15" s="300"/>
      <c r="Z15" s="300"/>
    </row>
    <row r="16" spans="1:26" x14ac:dyDescent="0.25">
      <c r="A16" s="391"/>
      <c r="B16" s="426" t="s">
        <v>225</v>
      </c>
      <c r="C16" s="426"/>
      <c r="D16" s="392" t="s">
        <v>226</v>
      </c>
      <c r="E16" s="397"/>
      <c r="F16" s="394"/>
      <c r="G16" s="426" t="s">
        <v>225</v>
      </c>
      <c r="H16" s="397"/>
      <c r="I16" s="394"/>
      <c r="J16" s="426" t="s">
        <v>601</v>
      </c>
      <c r="K16" s="397"/>
      <c r="L16" s="394"/>
      <c r="M16" s="426"/>
      <c r="N16" s="397"/>
      <c r="O16" s="394"/>
      <c r="P16" s="412"/>
      <c r="Q16" s="400"/>
      <c r="R16" s="394"/>
      <c r="S16" s="418"/>
      <c r="T16" s="419"/>
      <c r="U16" s="419"/>
      <c r="V16" s="419"/>
      <c r="W16" s="419"/>
      <c r="X16" s="414"/>
      <c r="Y16" s="300"/>
      <c r="Z16" s="300"/>
    </row>
    <row r="17" spans="1:26" x14ac:dyDescent="0.25">
      <c r="A17" s="391"/>
      <c r="B17" s="404">
        <f>B12*51%</f>
        <v>313202.37248999998</v>
      </c>
      <c r="C17" s="427" t="s">
        <v>315</v>
      </c>
      <c r="D17" s="428">
        <v>4661.93</v>
      </c>
      <c r="E17" s="400">
        <f>B17/D17</f>
        <v>67.182984834607112</v>
      </c>
      <c r="F17" s="394"/>
      <c r="G17" s="400">
        <f>B12*51%</f>
        <v>313202.37248999998</v>
      </c>
      <c r="H17" s="429">
        <f>E17</f>
        <v>67.182984834607112</v>
      </c>
      <c r="I17" s="394"/>
      <c r="J17" s="429">
        <f>J12*51%</f>
        <v>334622.37248999998</v>
      </c>
      <c r="K17" s="400">
        <f>J17/D17</f>
        <v>71.777648418144409</v>
      </c>
      <c r="L17" s="394"/>
      <c r="M17" s="404"/>
      <c r="N17" s="400"/>
      <c r="O17" s="394"/>
      <c r="P17" s="400"/>
      <c r="Q17" s="400"/>
      <c r="R17" s="394"/>
      <c r="S17" s="418"/>
      <c r="T17" s="419" t="s">
        <v>317</v>
      </c>
      <c r="U17" s="419"/>
      <c r="V17" s="419"/>
      <c r="W17" s="419"/>
      <c r="X17" s="300"/>
      <c r="Y17" s="300"/>
      <c r="Z17" s="300"/>
    </row>
    <row r="18" spans="1:26" x14ac:dyDescent="0.25">
      <c r="A18" s="391"/>
      <c r="B18" s="398"/>
      <c r="C18" s="398"/>
      <c r="D18" s="397"/>
      <c r="E18" s="397"/>
      <c r="F18" s="394"/>
      <c r="G18" s="400"/>
      <c r="H18" s="397"/>
      <c r="I18" s="394"/>
      <c r="J18" s="397"/>
      <c r="K18" s="397"/>
      <c r="L18" s="394"/>
      <c r="M18" s="398"/>
      <c r="N18" s="397"/>
      <c r="O18" s="394"/>
      <c r="P18" s="400"/>
      <c r="Q18" s="400"/>
      <c r="R18" s="394"/>
      <c r="S18" s="418" t="s">
        <v>318</v>
      </c>
      <c r="T18" s="419">
        <v>7029.39</v>
      </c>
      <c r="U18" s="420">
        <f>T18/T23</f>
        <v>0.23183797505760997</v>
      </c>
      <c r="V18" s="420"/>
      <c r="W18" s="420"/>
      <c r="X18" s="300"/>
      <c r="Y18" s="300"/>
      <c r="Z18" s="300"/>
    </row>
    <row r="19" spans="1:26" x14ac:dyDescent="0.25">
      <c r="A19" s="425" t="s">
        <v>215</v>
      </c>
      <c r="B19" s="404">
        <f>B12</f>
        <v>614122.299</v>
      </c>
      <c r="C19" s="404"/>
      <c r="D19" s="392" t="s">
        <v>223</v>
      </c>
      <c r="E19" s="397"/>
      <c r="F19" s="394"/>
      <c r="G19" s="400">
        <f>B12</f>
        <v>614122.299</v>
      </c>
      <c r="H19" s="397"/>
      <c r="I19" s="394"/>
      <c r="J19" s="400">
        <f>J12</f>
        <v>656122.299</v>
      </c>
      <c r="K19" s="397"/>
      <c r="L19" s="394"/>
      <c r="M19" s="404"/>
      <c r="N19" s="397"/>
      <c r="O19" s="394"/>
      <c r="P19" s="400"/>
      <c r="Q19" s="400"/>
      <c r="R19" s="394"/>
      <c r="S19" s="418" t="s">
        <v>319</v>
      </c>
      <c r="T19" s="419">
        <v>14455.91</v>
      </c>
      <c r="U19" s="420">
        <f>T19/T23</f>
        <v>0.47677378862391395</v>
      </c>
      <c r="V19" s="420"/>
      <c r="W19" s="420"/>
      <c r="X19" s="300"/>
      <c r="Y19" s="300"/>
      <c r="Z19" s="300"/>
    </row>
    <row r="20" spans="1:26" x14ac:dyDescent="0.25">
      <c r="A20" s="391"/>
      <c r="B20" s="426" t="s">
        <v>227</v>
      </c>
      <c r="C20" s="426"/>
      <c r="D20" s="392" t="s">
        <v>228</v>
      </c>
      <c r="E20" s="397"/>
      <c r="F20" s="394"/>
      <c r="G20" s="426" t="s">
        <v>227</v>
      </c>
      <c r="H20" s="397"/>
      <c r="I20" s="394"/>
      <c r="J20" s="426" t="str">
        <f>G20</f>
        <v>x 0.43%</v>
      </c>
      <c r="K20" s="397"/>
      <c r="L20" s="394"/>
      <c r="M20" s="426"/>
      <c r="N20" s="397"/>
      <c r="O20" s="394"/>
      <c r="P20" s="412"/>
      <c r="Q20" s="400"/>
      <c r="R20" s="394"/>
      <c r="S20" s="418" t="s">
        <v>320</v>
      </c>
      <c r="T20" s="419">
        <v>7132.11</v>
      </c>
      <c r="U20" s="420">
        <f>T20/T23</f>
        <v>0.23522580768574949</v>
      </c>
      <c r="V20" s="420"/>
      <c r="W20" s="420"/>
      <c r="X20" s="300"/>
      <c r="Y20" s="300"/>
      <c r="Z20" s="300"/>
    </row>
    <row r="21" spans="1:26" x14ac:dyDescent="0.25">
      <c r="A21" s="391"/>
      <c r="B21" s="404">
        <f>B12*43%</f>
        <v>264072.58857000002</v>
      </c>
      <c r="C21" s="404"/>
      <c r="D21" s="392" t="s">
        <v>229</v>
      </c>
      <c r="E21" s="397"/>
      <c r="F21" s="394"/>
      <c r="G21" s="400">
        <f>B12*43%</f>
        <v>264072.58857000002</v>
      </c>
      <c r="H21" s="397"/>
      <c r="I21" s="394"/>
      <c r="J21" s="400">
        <f>J12*43%</f>
        <v>282132.58857000002</v>
      </c>
      <c r="K21" s="397"/>
      <c r="L21" s="394"/>
      <c r="M21" s="404"/>
      <c r="N21" s="397"/>
      <c r="O21" s="394"/>
      <c r="P21" s="400"/>
      <c r="Q21" s="400"/>
      <c r="R21" s="394"/>
      <c r="S21" s="418" t="s">
        <v>321</v>
      </c>
      <c r="T21" s="419">
        <v>476.71</v>
      </c>
      <c r="U21" s="420">
        <f>T21/T23</f>
        <v>1.5722485320876098E-2</v>
      </c>
      <c r="V21" s="420"/>
      <c r="W21" s="420"/>
      <c r="X21" s="300"/>
      <c r="Y21" s="300"/>
      <c r="Z21" s="300"/>
    </row>
    <row r="22" spans="1:26" ht="13.5" thickBot="1" x14ac:dyDescent="0.3">
      <c r="A22" s="391"/>
      <c r="B22" s="412">
        <v>106600</v>
      </c>
      <c r="C22" s="412"/>
      <c r="D22" s="392" t="s">
        <v>230</v>
      </c>
      <c r="E22" s="397"/>
      <c r="F22" s="394"/>
      <c r="G22" s="408">
        <f>B22</f>
        <v>106600</v>
      </c>
      <c r="H22" s="397"/>
      <c r="I22" s="394"/>
      <c r="J22" s="408">
        <v>106600</v>
      </c>
      <c r="K22" s="397"/>
      <c r="L22" s="394"/>
      <c r="M22" s="412"/>
      <c r="N22" s="397"/>
      <c r="O22" s="394"/>
      <c r="P22" s="408"/>
      <c r="Q22" s="400"/>
      <c r="R22" s="394"/>
      <c r="S22" s="418" t="s">
        <v>322</v>
      </c>
      <c r="T22" s="422">
        <v>1226.1500000000001</v>
      </c>
      <c r="U22" s="423">
        <f>T22/T23</f>
        <v>4.0439943311850454E-2</v>
      </c>
      <c r="V22" s="424"/>
      <c r="W22" s="424"/>
      <c r="X22" s="300"/>
      <c r="Y22" s="300"/>
      <c r="Z22" s="300"/>
    </row>
    <row r="23" spans="1:26" ht="13.5" thickTop="1" x14ac:dyDescent="0.25">
      <c r="A23" s="391"/>
      <c r="B23" s="404">
        <f>SUM(B21:B22)</f>
        <v>370672.58857000002</v>
      </c>
      <c r="C23" s="427" t="s">
        <v>315</v>
      </c>
      <c r="D23" s="428">
        <v>14419.73</v>
      </c>
      <c r="E23" s="400">
        <f>B23/D23</f>
        <v>25.70593128789513</v>
      </c>
      <c r="F23" s="394"/>
      <c r="G23" s="400">
        <f>SUM(G21:G22)</f>
        <v>370672.58857000002</v>
      </c>
      <c r="H23" s="400">
        <f>E23</f>
        <v>25.70593128789513</v>
      </c>
      <c r="I23" s="394"/>
      <c r="J23" s="400">
        <f>SUM(J21:J22)</f>
        <v>388732.58857000002</v>
      </c>
      <c r="K23" s="400">
        <f>J23/D23</f>
        <v>26.958381923239898</v>
      </c>
      <c r="L23" s="394"/>
      <c r="M23" s="404"/>
      <c r="N23" s="400"/>
      <c r="O23" s="394"/>
      <c r="P23" s="400"/>
      <c r="Q23" s="400"/>
      <c r="R23" s="394"/>
      <c r="S23" s="418"/>
      <c r="T23" s="419">
        <f>SUM(T18:T22)</f>
        <v>30320.27</v>
      </c>
      <c r="U23" s="420">
        <f>SUM(U18:U22)</f>
        <v>0.99999999999999989</v>
      </c>
      <c r="V23" s="420"/>
      <c r="W23" s="420"/>
      <c r="X23" s="300"/>
      <c r="Y23" s="300"/>
      <c r="Z23" s="300"/>
    </row>
    <row r="24" spans="1:26" x14ac:dyDescent="0.25">
      <c r="A24" s="391"/>
      <c r="B24" s="398"/>
      <c r="C24" s="398"/>
      <c r="D24" s="397"/>
      <c r="E24" s="397"/>
      <c r="F24" s="394"/>
      <c r="G24" s="400"/>
      <c r="H24" s="397"/>
      <c r="I24" s="394"/>
      <c r="J24" s="397"/>
      <c r="K24" s="397"/>
      <c r="L24" s="394"/>
      <c r="M24" s="398"/>
      <c r="N24" s="397"/>
      <c r="O24" s="394"/>
      <c r="P24" s="400"/>
      <c r="Q24" s="400"/>
      <c r="R24" s="394"/>
      <c r="X24" s="300"/>
      <c r="Y24" s="300"/>
      <c r="Z24" s="300"/>
    </row>
    <row r="25" spans="1:26" x14ac:dyDescent="0.25">
      <c r="A25" s="425" t="s">
        <v>217</v>
      </c>
      <c r="B25" s="404">
        <f>B12</f>
        <v>614122.299</v>
      </c>
      <c r="C25" s="404"/>
      <c r="D25" s="392" t="s">
        <v>223</v>
      </c>
      <c r="E25" s="397"/>
      <c r="F25" s="394"/>
      <c r="G25" s="400">
        <f>B12</f>
        <v>614122.299</v>
      </c>
      <c r="H25" s="397"/>
      <c r="I25" s="394"/>
      <c r="J25" s="400">
        <f>J12</f>
        <v>656122.299</v>
      </c>
      <c r="K25" s="397"/>
      <c r="L25" s="394"/>
      <c r="M25" s="404"/>
      <c r="N25" s="397"/>
      <c r="O25" s="394"/>
      <c r="P25" s="400"/>
      <c r="Q25" s="400"/>
      <c r="R25" s="394"/>
      <c r="S25" s="431">
        <v>30000</v>
      </c>
      <c r="X25" s="300"/>
      <c r="Y25" s="300"/>
      <c r="Z25" s="300"/>
    </row>
    <row r="26" spans="1:26" x14ac:dyDescent="0.25">
      <c r="A26" s="391"/>
      <c r="B26" s="426" t="s">
        <v>231</v>
      </c>
      <c r="C26" s="426"/>
      <c r="D26" s="392" t="s">
        <v>232</v>
      </c>
      <c r="E26" s="400"/>
      <c r="F26" s="394"/>
      <c r="G26" s="426" t="s">
        <v>231</v>
      </c>
      <c r="H26" s="397"/>
      <c r="I26" s="394"/>
      <c r="J26" s="426" t="str">
        <f>G26</f>
        <v>x 0.06%</v>
      </c>
      <c r="K26" s="397"/>
      <c r="L26" s="394"/>
      <c r="M26" s="426"/>
      <c r="N26" s="400"/>
      <c r="O26" s="394"/>
      <c r="P26" s="412"/>
      <c r="Q26" s="400"/>
      <c r="R26" s="394"/>
      <c r="S26" s="431">
        <v>101106</v>
      </c>
      <c r="X26" s="300"/>
      <c r="Y26" s="300"/>
      <c r="Z26" s="300"/>
    </row>
    <row r="27" spans="1:26" x14ac:dyDescent="0.25">
      <c r="A27" s="391"/>
      <c r="B27" s="404">
        <f>B12*6%</f>
        <v>36847.337939999998</v>
      </c>
      <c r="C27" s="427" t="s">
        <v>315</v>
      </c>
      <c r="D27" s="432">
        <v>7078</v>
      </c>
      <c r="E27" s="400">
        <f>B27/D27</f>
        <v>5.2058968550437976</v>
      </c>
      <c r="F27" s="394"/>
      <c r="G27" s="400">
        <f>B12*6%</f>
        <v>36847.337939999998</v>
      </c>
      <c r="H27" s="400">
        <f>E27</f>
        <v>5.2058968550437976</v>
      </c>
      <c r="I27" s="394"/>
      <c r="J27" s="400">
        <f>J12*6%</f>
        <v>39367.337939999998</v>
      </c>
      <c r="K27" s="400">
        <f>J27/D27</f>
        <v>5.5619296326645946</v>
      </c>
      <c r="L27" s="394"/>
      <c r="M27" s="404"/>
      <c r="N27" s="400"/>
      <c r="O27" s="394"/>
      <c r="P27" s="400"/>
      <c r="Q27" s="400"/>
      <c r="R27" s="394"/>
      <c r="S27" s="431">
        <v>8750</v>
      </c>
      <c r="X27" s="300"/>
      <c r="Y27" s="300"/>
      <c r="Z27" s="300"/>
    </row>
    <row r="28" spans="1:26" x14ac:dyDescent="0.25">
      <c r="A28" s="391"/>
      <c r="B28" s="398"/>
      <c r="C28" s="398"/>
      <c r="D28" s="397"/>
      <c r="E28" s="397"/>
      <c r="F28" s="394"/>
      <c r="G28" s="400"/>
      <c r="H28" s="397"/>
      <c r="I28" s="394"/>
      <c r="J28" s="397"/>
      <c r="K28" s="397"/>
      <c r="L28" s="394"/>
      <c r="M28" s="398"/>
      <c r="N28" s="397"/>
      <c r="O28" s="394"/>
      <c r="P28" s="400"/>
      <c r="Q28" s="400"/>
      <c r="R28" s="394"/>
      <c r="S28" s="431">
        <v>1000</v>
      </c>
      <c r="X28" s="300"/>
      <c r="Y28" s="300"/>
      <c r="Z28" s="300"/>
    </row>
    <row r="29" spans="1:26" x14ac:dyDescent="0.25">
      <c r="A29" s="425" t="s">
        <v>233</v>
      </c>
      <c r="B29" s="404">
        <f>E29*476.71</f>
        <v>0</v>
      </c>
      <c r="C29" s="404"/>
      <c r="D29" s="392" t="s">
        <v>234</v>
      </c>
      <c r="E29" s="400"/>
      <c r="F29" s="394"/>
      <c r="I29" s="394"/>
      <c r="J29" s="400"/>
      <c r="L29" s="394"/>
      <c r="M29" s="404"/>
      <c r="N29" s="400"/>
      <c r="O29" s="394"/>
      <c r="P29" s="400"/>
      <c r="Q29" s="400"/>
      <c r="R29" s="394"/>
      <c r="S29" s="431">
        <v>100</v>
      </c>
      <c r="X29" s="300"/>
      <c r="Y29" s="300"/>
      <c r="Z29" s="300"/>
    </row>
    <row r="30" spans="1:26" ht="13.5" thickBot="1" x14ac:dyDescent="0.3">
      <c r="A30" s="425" t="s">
        <v>235</v>
      </c>
      <c r="B30" s="404"/>
      <c r="C30" s="427" t="s">
        <v>315</v>
      </c>
      <c r="D30" s="433">
        <v>476.71</v>
      </c>
      <c r="E30" s="400">
        <f>E17/2</f>
        <v>33.591492417303556</v>
      </c>
      <c r="F30" s="401"/>
      <c r="G30" s="400">
        <f>B29</f>
        <v>0</v>
      </c>
      <c r="H30" s="400">
        <f>H17/2</f>
        <v>33.591492417303556</v>
      </c>
      <c r="I30" s="401"/>
      <c r="J30" s="400">
        <v>0</v>
      </c>
      <c r="K30" s="400">
        <f>K17/2</f>
        <v>35.888824209072204</v>
      </c>
      <c r="L30" s="401"/>
      <c r="M30" s="404"/>
      <c r="N30" s="400"/>
      <c r="O30" s="401"/>
      <c r="P30" s="424"/>
      <c r="Q30" s="434"/>
      <c r="R30" s="401"/>
      <c r="S30" s="431">
        <v>100</v>
      </c>
      <c r="T30" s="400"/>
      <c r="U30" s="300"/>
      <c r="V30" s="300"/>
      <c r="W30" s="300"/>
      <c r="X30" s="300"/>
      <c r="Y30" s="300"/>
      <c r="Z30" s="300"/>
    </row>
    <row r="31" spans="1:26" x14ac:dyDescent="0.25">
      <c r="A31" s="392"/>
      <c r="B31" s="404"/>
      <c r="C31" s="404"/>
      <c r="D31" s="392"/>
      <c r="E31" s="400"/>
      <c r="F31" s="397"/>
      <c r="G31" s="424"/>
      <c r="H31" s="434"/>
      <c r="I31" s="397"/>
      <c r="J31" s="424"/>
      <c r="K31" s="434"/>
      <c r="L31" s="397"/>
      <c r="M31" s="397"/>
      <c r="N31" s="400"/>
      <c r="O31" s="397"/>
      <c r="P31" s="424"/>
      <c r="Q31" s="434"/>
      <c r="R31" s="397"/>
      <c r="S31" s="431">
        <v>4800</v>
      </c>
      <c r="T31" s="400"/>
      <c r="U31" s="300"/>
      <c r="V31" s="300"/>
      <c r="W31" s="300"/>
      <c r="X31" s="300"/>
      <c r="Y31" s="300"/>
      <c r="Z31" s="300"/>
    </row>
    <row r="32" spans="1:26" x14ac:dyDescent="0.25">
      <c r="A32" s="300" t="s">
        <v>236</v>
      </c>
      <c r="B32" s="435"/>
      <c r="C32" s="435"/>
      <c r="D32" s="300"/>
      <c r="E32" s="300"/>
      <c r="F32" s="300"/>
      <c r="G32" s="300"/>
      <c r="H32" s="300"/>
      <c r="I32" s="300"/>
      <c r="J32" s="300"/>
      <c r="K32" s="300"/>
      <c r="L32" s="300"/>
      <c r="M32" s="300"/>
      <c r="N32" s="300"/>
      <c r="O32" s="300"/>
      <c r="P32" s="300"/>
      <c r="Q32" s="300"/>
      <c r="R32" s="300"/>
      <c r="S32" s="431">
        <v>2500</v>
      </c>
      <c r="T32" s="417"/>
      <c r="U32" s="300"/>
      <c r="V32" s="300"/>
      <c r="W32" s="300"/>
      <c r="X32" s="300"/>
      <c r="Y32" s="300"/>
      <c r="Z32" s="300"/>
    </row>
    <row r="33" spans="1:26" x14ac:dyDescent="0.25">
      <c r="A33" s="436">
        <v>1</v>
      </c>
      <c r="B33" s="437" t="s">
        <v>237</v>
      </c>
      <c r="C33" s="437"/>
      <c r="D33" s="300"/>
      <c r="E33" s="300"/>
      <c r="F33" s="300"/>
      <c r="G33" s="300"/>
      <c r="H33" s="300"/>
      <c r="I33" s="300"/>
      <c r="J33" s="300"/>
      <c r="K33" s="300"/>
      <c r="L33" s="300"/>
      <c r="M33" s="300"/>
      <c r="N33" s="300"/>
      <c r="O33" s="300"/>
      <c r="P33" s="300"/>
      <c r="Q33" s="300"/>
      <c r="R33" s="300"/>
      <c r="S33" s="431">
        <v>1000</v>
      </c>
      <c r="T33" s="300"/>
      <c r="U33" s="300"/>
      <c r="V33" s="300"/>
      <c r="W33" s="300"/>
      <c r="X33" s="300"/>
      <c r="Y33" s="300"/>
      <c r="Z33" s="300"/>
    </row>
    <row r="34" spans="1:26" x14ac:dyDescent="0.25">
      <c r="A34" s="436">
        <v>2</v>
      </c>
      <c r="B34" s="437" t="s">
        <v>238</v>
      </c>
      <c r="C34" s="437"/>
      <c r="D34" s="300"/>
      <c r="E34" s="300"/>
      <c r="F34" s="300"/>
      <c r="G34" s="300"/>
      <c r="H34" s="300"/>
      <c r="I34" s="300"/>
      <c r="J34" s="300"/>
      <c r="K34" s="300"/>
      <c r="L34" s="300"/>
      <c r="M34" s="300"/>
      <c r="N34" s="300"/>
      <c r="O34" s="300"/>
      <c r="P34" s="300"/>
      <c r="Q34" s="300"/>
      <c r="R34" s="300"/>
      <c r="S34" s="438"/>
      <c r="T34" s="300" t="s">
        <v>564</v>
      </c>
      <c r="U34" s="300"/>
      <c r="V34" s="300"/>
      <c r="W34" s="300"/>
      <c r="X34" s="300"/>
      <c r="Y34" s="300"/>
      <c r="Z34" s="300"/>
    </row>
    <row r="35" spans="1:26" x14ac:dyDescent="0.25">
      <c r="A35" s="436"/>
      <c r="B35" s="437" t="s">
        <v>239</v>
      </c>
      <c r="C35" s="437"/>
      <c r="D35" s="300"/>
      <c r="E35" s="300"/>
      <c r="F35" s="300"/>
      <c r="G35" s="300"/>
      <c r="H35" s="300"/>
      <c r="I35" s="300"/>
      <c r="J35" s="300"/>
      <c r="K35" s="300"/>
      <c r="L35" s="300"/>
      <c r="M35" s="300"/>
      <c r="N35" s="300"/>
      <c r="O35" s="300"/>
      <c r="P35" s="300"/>
      <c r="Q35" s="300"/>
      <c r="R35" s="300"/>
      <c r="S35" s="431">
        <v>15500</v>
      </c>
      <c r="T35" s="300"/>
      <c r="U35" s="300"/>
      <c r="V35" s="300"/>
      <c r="W35" s="300"/>
      <c r="X35" s="300"/>
      <c r="Y35" s="300"/>
      <c r="Z35" s="300"/>
    </row>
    <row r="36" spans="1:26" x14ac:dyDescent="0.25">
      <c r="A36" s="436">
        <v>3</v>
      </c>
      <c r="B36" s="437" t="s">
        <v>325</v>
      </c>
      <c r="C36" s="437"/>
      <c r="D36" s="300"/>
      <c r="E36" s="300"/>
      <c r="F36" s="300"/>
      <c r="G36" s="300"/>
      <c r="H36" s="300"/>
      <c r="I36" s="300"/>
      <c r="J36" s="300"/>
      <c r="K36" s="300"/>
      <c r="L36" s="300"/>
      <c r="M36" s="300"/>
      <c r="N36" s="300"/>
      <c r="O36" s="300"/>
      <c r="P36" s="300"/>
      <c r="Q36" s="300"/>
      <c r="R36" s="300"/>
      <c r="S36" s="431">
        <v>20</v>
      </c>
      <c r="T36" s="300"/>
      <c r="U36" s="300"/>
      <c r="V36" s="300"/>
      <c r="W36" s="300"/>
      <c r="X36" s="300"/>
      <c r="Y36" s="300"/>
      <c r="Z36" s="300"/>
    </row>
    <row r="37" spans="1:26" x14ac:dyDescent="0.25">
      <c r="A37" s="436">
        <v>4</v>
      </c>
      <c r="B37" s="437" t="s">
        <v>327</v>
      </c>
      <c r="C37" s="437"/>
      <c r="D37" s="300"/>
      <c r="E37" s="300"/>
      <c r="F37" s="300"/>
      <c r="G37" s="300"/>
      <c r="H37" s="300"/>
      <c r="I37" s="300"/>
      <c r="J37" s="300"/>
      <c r="K37" s="300"/>
      <c r="L37" s="300"/>
      <c r="M37" s="300"/>
      <c r="N37" s="300"/>
      <c r="O37" s="300"/>
      <c r="P37" s="300"/>
      <c r="Q37" s="300"/>
      <c r="R37" s="300"/>
      <c r="S37" s="439">
        <v>550000</v>
      </c>
      <c r="T37" s="300"/>
      <c r="U37" s="300"/>
      <c r="V37" s="300"/>
      <c r="W37" s="300"/>
      <c r="X37" s="300"/>
      <c r="Y37" s="300"/>
      <c r="Z37" s="300"/>
    </row>
    <row r="38" spans="1:26" x14ac:dyDescent="0.25">
      <c r="A38" s="436">
        <v>5</v>
      </c>
      <c r="B38" s="437" t="s">
        <v>240</v>
      </c>
      <c r="C38" s="437"/>
      <c r="D38" s="300"/>
      <c r="E38" s="300"/>
      <c r="F38" s="300"/>
      <c r="G38" s="300"/>
      <c r="H38" s="300"/>
      <c r="I38" s="300"/>
      <c r="J38" s="300"/>
      <c r="K38" s="300"/>
      <c r="L38" s="300"/>
      <c r="M38" s="300"/>
      <c r="N38" s="300"/>
      <c r="O38" s="300"/>
      <c r="P38" s="300"/>
      <c r="Q38" s="300"/>
      <c r="R38" s="300"/>
      <c r="S38" s="431">
        <v>150000</v>
      </c>
      <c r="T38" s="300"/>
      <c r="U38" s="300"/>
      <c r="V38" s="300"/>
      <c r="W38" s="300"/>
      <c r="X38" s="300"/>
      <c r="Y38" s="300"/>
      <c r="Z38" s="300"/>
    </row>
    <row r="39" spans="1:26" x14ac:dyDescent="0.25">
      <c r="A39" s="436"/>
      <c r="B39" s="437" t="s">
        <v>241</v>
      </c>
      <c r="C39" s="437"/>
      <c r="D39" s="300"/>
      <c r="E39" s="300"/>
      <c r="F39" s="300"/>
      <c r="G39" s="300"/>
      <c r="H39" s="300"/>
      <c r="I39" s="300"/>
      <c r="J39" s="300"/>
      <c r="K39" s="300"/>
      <c r="L39" s="300"/>
      <c r="M39" s="300"/>
      <c r="N39" s="300"/>
      <c r="O39" s="300"/>
      <c r="P39" s="300"/>
      <c r="Q39" s="300"/>
      <c r="R39" s="300"/>
      <c r="S39" s="1">
        <f>SUM(S25:S38)</f>
        <v>864876</v>
      </c>
      <c r="T39" s="300"/>
      <c r="U39" s="300"/>
      <c r="V39" s="300"/>
      <c r="W39" s="300"/>
      <c r="X39" s="300"/>
      <c r="Y39" s="300"/>
      <c r="Z39" s="300"/>
    </row>
    <row r="40" spans="1:26" x14ac:dyDescent="0.25">
      <c r="A40" s="436">
        <v>6</v>
      </c>
      <c r="B40" s="437" t="s">
        <v>595</v>
      </c>
      <c r="C40" s="437"/>
      <c r="D40" s="300"/>
      <c r="E40" s="300"/>
      <c r="F40" s="300"/>
      <c r="G40" s="300"/>
      <c r="H40" s="300"/>
      <c r="I40" s="300"/>
      <c r="J40" s="300"/>
      <c r="K40" s="300"/>
      <c r="L40" s="300"/>
      <c r="M40" s="300"/>
      <c r="N40" s="300"/>
      <c r="O40" s="300"/>
      <c r="P40" s="300"/>
      <c r="Q40" s="300"/>
      <c r="R40" s="300"/>
      <c r="T40" s="417"/>
      <c r="U40" s="300"/>
      <c r="V40" s="300"/>
      <c r="W40" s="300"/>
      <c r="X40" s="300"/>
      <c r="Y40" s="300"/>
      <c r="Z40" s="300"/>
    </row>
    <row r="41" spans="1:26" x14ac:dyDescent="0.25">
      <c r="A41" s="436"/>
      <c r="B41" s="440" t="s">
        <v>596</v>
      </c>
      <c r="C41" s="440"/>
      <c r="D41" s="300"/>
      <c r="E41" s="300"/>
      <c r="F41" s="300"/>
      <c r="G41" s="300"/>
      <c r="H41" s="300"/>
      <c r="I41" s="300"/>
      <c r="J41" s="300"/>
      <c r="K41" s="300"/>
      <c r="L41" s="300"/>
      <c r="M41" s="300"/>
      <c r="N41" s="300"/>
      <c r="O41" s="300"/>
      <c r="P41" s="300"/>
      <c r="Q41" s="300"/>
      <c r="R41" s="300"/>
      <c r="T41" s="417"/>
      <c r="U41" s="300"/>
      <c r="V41" s="300"/>
      <c r="W41" s="300"/>
      <c r="X41" s="300"/>
      <c r="Y41" s="300"/>
      <c r="Z41" s="300"/>
    </row>
    <row r="42" spans="1:26" x14ac:dyDescent="0.25">
      <c r="A42" s="436">
        <v>7</v>
      </c>
      <c r="B42" s="437" t="s">
        <v>242</v>
      </c>
      <c r="C42" s="437"/>
      <c r="D42" s="300"/>
      <c r="E42" s="300"/>
      <c r="F42" s="300"/>
      <c r="G42" s="300"/>
      <c r="H42" s="300"/>
      <c r="I42" s="300"/>
      <c r="J42" s="300"/>
      <c r="K42" s="300"/>
      <c r="L42" s="300"/>
      <c r="M42" s="300"/>
      <c r="N42" s="300"/>
      <c r="O42" s="300"/>
      <c r="P42" s="300"/>
      <c r="Q42" s="300"/>
      <c r="R42" s="300"/>
      <c r="T42" s="417"/>
      <c r="U42" s="417"/>
      <c r="V42" s="417"/>
      <c r="W42" s="417"/>
      <c r="X42" s="414"/>
      <c r="Y42" s="300"/>
      <c r="Z42" s="300"/>
    </row>
  </sheetData>
  <mergeCells count="13">
    <mergeCell ref="G1:Q1"/>
    <mergeCell ref="X1:Z1"/>
    <mergeCell ref="G2:H2"/>
    <mergeCell ref="J2:K2"/>
    <mergeCell ref="M2:N2"/>
    <mergeCell ref="P2:Q2"/>
    <mergeCell ref="G3:H3"/>
    <mergeCell ref="J3:K3"/>
    <mergeCell ref="M3:N3"/>
    <mergeCell ref="P3:Q3"/>
    <mergeCell ref="G4:H4"/>
    <mergeCell ref="M4:N4"/>
    <mergeCell ref="J4:K4"/>
  </mergeCells>
  <pageMargins left="0" right="0" top="0.75" bottom="0.5" header="0.05" footer="0.05"/>
  <pageSetup scale="99" fitToWidth="0" orientation="landscape" r:id="rId1"/>
  <headerFooter>
    <oddHeader>&amp;C2019-20 Proposed General Fund Budget
Adopted 
REVISED RATE CALCULATION</oddHeader>
    <oddFooter>&amp;Z&amp;F&amp;RPage 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9"/>
  <sheetViews>
    <sheetView topLeftCell="A202" workbookViewId="0">
      <selection activeCell="Q215" sqref="Q215"/>
    </sheetView>
  </sheetViews>
  <sheetFormatPr defaultRowHeight="15" x14ac:dyDescent="0.25"/>
  <cols>
    <col min="1" max="1" width="3" style="225" customWidth="1"/>
    <col min="2" max="2" width="26" style="225" customWidth="1"/>
    <col min="3" max="4" width="2.28515625" style="225" customWidth="1"/>
    <col min="5" max="5" width="11.85546875" style="225" bestFit="1" customWidth="1"/>
    <col min="6" max="6" width="2.28515625" style="225" customWidth="1"/>
    <col min="7" max="7" width="8.7109375" style="225" bestFit="1" customWidth="1"/>
    <col min="8" max="8" width="2.28515625" style="225" customWidth="1"/>
    <col min="9" max="9" width="14.7109375" style="225" bestFit="1" customWidth="1"/>
    <col min="10" max="10" width="2.28515625" style="225" customWidth="1"/>
    <col min="11" max="11" width="28.5703125" style="225" bestFit="1" customWidth="1"/>
    <col min="12" max="12" width="2.28515625" style="225" customWidth="1"/>
    <col min="13" max="13" width="26.7109375" style="225" bestFit="1" customWidth="1"/>
    <col min="14" max="14" width="2.28515625" style="225" customWidth="1"/>
    <col min="15" max="15" width="3.28515625" style="225" bestFit="1" customWidth="1"/>
    <col min="16" max="16" width="2.28515625" style="225" customWidth="1"/>
    <col min="17" max="17" width="25.85546875" style="225" bestFit="1" customWidth="1"/>
    <col min="18" max="18" width="2.28515625" style="225" customWidth="1"/>
    <col min="19" max="19" width="8.7109375" style="225" bestFit="1" customWidth="1"/>
    <col min="20" max="20" width="2.28515625" style="225" customWidth="1"/>
    <col min="21" max="21" width="8.7109375" style="225" bestFit="1" customWidth="1"/>
    <col min="22" max="16384" width="9.140625" style="4"/>
  </cols>
  <sheetData>
    <row r="1" spans="1:21" s="213" customFormat="1" ht="15.75" thickBot="1" x14ac:dyDescent="0.3">
      <c r="A1" s="211"/>
      <c r="B1" s="211"/>
      <c r="C1" s="211"/>
      <c r="D1" s="211"/>
      <c r="E1" s="212" t="s">
        <v>376</v>
      </c>
      <c r="F1" s="211"/>
      <c r="G1" s="212" t="s">
        <v>377</v>
      </c>
      <c r="H1" s="211"/>
      <c r="I1" s="212" t="s">
        <v>378</v>
      </c>
      <c r="J1" s="211"/>
      <c r="K1" s="212" t="s">
        <v>379</v>
      </c>
      <c r="L1" s="211"/>
      <c r="M1" s="212" t="s">
        <v>380</v>
      </c>
      <c r="N1" s="211"/>
      <c r="O1" s="212" t="s">
        <v>381</v>
      </c>
      <c r="P1" s="211"/>
      <c r="Q1" s="212" t="s">
        <v>382</v>
      </c>
      <c r="R1" s="211"/>
      <c r="S1" s="212" t="s">
        <v>383</v>
      </c>
      <c r="T1" s="211"/>
      <c r="U1" s="212" t="s">
        <v>206</v>
      </c>
    </row>
    <row r="2" spans="1:21" ht="15.75" thickTop="1" x14ac:dyDescent="0.25">
      <c r="A2" s="214"/>
      <c r="B2" s="214" t="s">
        <v>384</v>
      </c>
      <c r="C2" s="214"/>
      <c r="D2" s="214"/>
      <c r="E2" s="214"/>
      <c r="F2" s="214"/>
      <c r="G2" s="215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6"/>
      <c r="T2" s="214"/>
      <c r="U2" s="216"/>
    </row>
    <row r="3" spans="1:21" x14ac:dyDescent="0.25">
      <c r="A3" s="217"/>
      <c r="B3" s="217"/>
      <c r="C3" s="217"/>
      <c r="D3" s="217"/>
      <c r="E3" s="217" t="s">
        <v>385</v>
      </c>
      <c r="F3" s="217"/>
      <c r="G3" s="218">
        <v>41547</v>
      </c>
      <c r="H3" s="217"/>
      <c r="I3" s="217" t="s">
        <v>386</v>
      </c>
      <c r="J3" s="217"/>
      <c r="K3" s="217"/>
      <c r="L3" s="217"/>
      <c r="M3" s="217" t="s">
        <v>387</v>
      </c>
      <c r="N3" s="217"/>
      <c r="O3" s="219"/>
      <c r="P3" s="217"/>
      <c r="Q3" s="217" t="s">
        <v>388</v>
      </c>
      <c r="R3" s="217"/>
      <c r="S3" s="220">
        <v>65532.39</v>
      </c>
      <c r="T3" s="217"/>
      <c r="U3" s="220">
        <f t="shared" ref="U3:U66" si="0">ROUND(U2+S3,5)</f>
        <v>65532.39</v>
      </c>
    </row>
    <row r="4" spans="1:21" x14ac:dyDescent="0.25">
      <c r="A4" s="217"/>
      <c r="B4" s="217"/>
      <c r="C4" s="217"/>
      <c r="D4" s="217"/>
      <c r="E4" s="217" t="s">
        <v>389</v>
      </c>
      <c r="F4" s="217"/>
      <c r="G4" s="218">
        <v>41578</v>
      </c>
      <c r="H4" s="217"/>
      <c r="I4" s="217" t="s">
        <v>390</v>
      </c>
      <c r="J4" s="217"/>
      <c r="K4" s="217" t="s">
        <v>391</v>
      </c>
      <c r="L4" s="217"/>
      <c r="M4" s="217" t="s">
        <v>392</v>
      </c>
      <c r="N4" s="217"/>
      <c r="O4" s="219"/>
      <c r="P4" s="217"/>
      <c r="Q4" s="217" t="s">
        <v>393</v>
      </c>
      <c r="R4" s="217"/>
      <c r="S4" s="220">
        <v>120.3</v>
      </c>
      <c r="T4" s="217"/>
      <c r="U4" s="220">
        <f t="shared" si="0"/>
        <v>65652.69</v>
      </c>
    </row>
    <row r="5" spans="1:21" x14ac:dyDescent="0.25">
      <c r="A5" s="217"/>
      <c r="B5" s="217"/>
      <c r="C5" s="217"/>
      <c r="D5" s="217"/>
      <c r="E5" s="217" t="s">
        <v>389</v>
      </c>
      <c r="F5" s="217"/>
      <c r="G5" s="218">
        <v>41578</v>
      </c>
      <c r="H5" s="217"/>
      <c r="I5" s="217" t="s">
        <v>390</v>
      </c>
      <c r="J5" s="217"/>
      <c r="K5" s="217" t="s">
        <v>391</v>
      </c>
      <c r="L5" s="217"/>
      <c r="M5" s="217" t="s">
        <v>394</v>
      </c>
      <c r="N5" s="217"/>
      <c r="O5" s="219"/>
      <c r="P5" s="217"/>
      <c r="Q5" s="217" t="s">
        <v>393</v>
      </c>
      <c r="R5" s="217"/>
      <c r="S5" s="220">
        <v>77.25</v>
      </c>
      <c r="T5" s="217"/>
      <c r="U5" s="220">
        <f t="shared" si="0"/>
        <v>65729.94</v>
      </c>
    </row>
    <row r="6" spans="1:21" x14ac:dyDescent="0.25">
      <c r="A6" s="217"/>
      <c r="B6" s="217"/>
      <c r="C6" s="217"/>
      <c r="D6" s="217"/>
      <c r="E6" s="217" t="s">
        <v>389</v>
      </c>
      <c r="F6" s="217"/>
      <c r="G6" s="218">
        <v>41578</v>
      </c>
      <c r="H6" s="217"/>
      <c r="I6" s="217" t="s">
        <v>390</v>
      </c>
      <c r="J6" s="217"/>
      <c r="K6" s="217" t="s">
        <v>391</v>
      </c>
      <c r="L6" s="217"/>
      <c r="M6" s="217" t="s">
        <v>395</v>
      </c>
      <c r="N6" s="217"/>
      <c r="O6" s="219"/>
      <c r="P6" s="217"/>
      <c r="Q6" s="217" t="s">
        <v>393</v>
      </c>
      <c r="R6" s="217"/>
      <c r="S6" s="220">
        <v>86.83</v>
      </c>
      <c r="T6" s="217"/>
      <c r="U6" s="220">
        <f t="shared" si="0"/>
        <v>65816.77</v>
      </c>
    </row>
    <row r="7" spans="1:21" x14ac:dyDescent="0.25">
      <c r="A7" s="217"/>
      <c r="B7" s="217"/>
      <c r="C7" s="217"/>
      <c r="D7" s="217"/>
      <c r="E7" s="217" t="s">
        <v>396</v>
      </c>
      <c r="F7" s="217"/>
      <c r="G7" s="218">
        <v>41608</v>
      </c>
      <c r="H7" s="217"/>
      <c r="I7" s="217" t="s">
        <v>397</v>
      </c>
      <c r="J7" s="217"/>
      <c r="K7" s="217" t="s">
        <v>391</v>
      </c>
      <c r="L7" s="217"/>
      <c r="M7" s="217"/>
      <c r="N7" s="217"/>
      <c r="O7" s="219"/>
      <c r="P7" s="217"/>
      <c r="Q7" s="217" t="s">
        <v>398</v>
      </c>
      <c r="R7" s="217"/>
      <c r="S7" s="220">
        <v>1014.86</v>
      </c>
      <c r="T7" s="217"/>
      <c r="U7" s="220">
        <f t="shared" si="0"/>
        <v>66831.63</v>
      </c>
    </row>
    <row r="8" spans="1:21" x14ac:dyDescent="0.25">
      <c r="A8" s="217"/>
      <c r="B8" s="217"/>
      <c r="C8" s="217"/>
      <c r="D8" s="217"/>
      <c r="E8" s="217" t="s">
        <v>396</v>
      </c>
      <c r="F8" s="217"/>
      <c r="G8" s="218">
        <v>41608</v>
      </c>
      <c r="H8" s="217"/>
      <c r="I8" s="217" t="s">
        <v>397</v>
      </c>
      <c r="J8" s="217"/>
      <c r="K8" s="217" t="s">
        <v>391</v>
      </c>
      <c r="L8" s="217"/>
      <c r="M8" s="217"/>
      <c r="N8" s="217"/>
      <c r="O8" s="219"/>
      <c r="P8" s="217"/>
      <c r="Q8" s="217" t="s">
        <v>398</v>
      </c>
      <c r="R8" s="217"/>
      <c r="S8" s="220">
        <v>2489.2199999999998</v>
      </c>
      <c r="T8" s="217"/>
      <c r="U8" s="220">
        <f t="shared" si="0"/>
        <v>69320.850000000006</v>
      </c>
    </row>
    <row r="9" spans="1:21" x14ac:dyDescent="0.25">
      <c r="A9" s="217"/>
      <c r="B9" s="217"/>
      <c r="C9" s="217"/>
      <c r="D9" s="217"/>
      <c r="E9" s="217" t="s">
        <v>396</v>
      </c>
      <c r="F9" s="217"/>
      <c r="G9" s="218">
        <v>41608</v>
      </c>
      <c r="H9" s="217"/>
      <c r="I9" s="217" t="s">
        <v>397</v>
      </c>
      <c r="J9" s="217"/>
      <c r="K9" s="217" t="s">
        <v>391</v>
      </c>
      <c r="L9" s="217"/>
      <c r="M9" s="217"/>
      <c r="N9" s="217"/>
      <c r="O9" s="219"/>
      <c r="P9" s="217"/>
      <c r="Q9" s="217" t="s">
        <v>398</v>
      </c>
      <c r="R9" s="217"/>
      <c r="S9" s="220">
        <v>1406.51</v>
      </c>
      <c r="T9" s="217"/>
      <c r="U9" s="220">
        <f t="shared" si="0"/>
        <v>70727.360000000001</v>
      </c>
    </row>
    <row r="10" spans="1:21" x14ac:dyDescent="0.25">
      <c r="A10" s="217"/>
      <c r="B10" s="217"/>
      <c r="C10" s="217"/>
      <c r="D10" s="217"/>
      <c r="E10" s="217" t="s">
        <v>389</v>
      </c>
      <c r="F10" s="217"/>
      <c r="G10" s="218">
        <v>41631</v>
      </c>
      <c r="H10" s="217"/>
      <c r="I10" s="217" t="s">
        <v>399</v>
      </c>
      <c r="J10" s="217"/>
      <c r="K10" s="217" t="s">
        <v>391</v>
      </c>
      <c r="L10" s="217"/>
      <c r="M10" s="217" t="s">
        <v>400</v>
      </c>
      <c r="N10" s="217"/>
      <c r="O10" s="219"/>
      <c r="P10" s="217"/>
      <c r="Q10" s="217" t="s">
        <v>393</v>
      </c>
      <c r="R10" s="217"/>
      <c r="S10" s="220">
        <v>5974.14</v>
      </c>
      <c r="T10" s="217"/>
      <c r="U10" s="220">
        <f t="shared" si="0"/>
        <v>76701.5</v>
      </c>
    </row>
    <row r="11" spans="1:21" x14ac:dyDescent="0.25">
      <c r="A11" s="217"/>
      <c r="B11" s="217"/>
      <c r="C11" s="217"/>
      <c r="D11" s="217"/>
      <c r="E11" s="217" t="s">
        <v>389</v>
      </c>
      <c r="F11" s="217"/>
      <c r="G11" s="218">
        <v>41631</v>
      </c>
      <c r="H11" s="217"/>
      <c r="I11" s="217" t="s">
        <v>399</v>
      </c>
      <c r="J11" s="217"/>
      <c r="K11" s="217" t="s">
        <v>391</v>
      </c>
      <c r="L11" s="217"/>
      <c r="M11" s="217" t="s">
        <v>401</v>
      </c>
      <c r="N11" s="217"/>
      <c r="O11" s="219"/>
      <c r="P11" s="217"/>
      <c r="Q11" s="217" t="s">
        <v>393</v>
      </c>
      <c r="R11" s="217"/>
      <c r="S11" s="220">
        <v>6242.66</v>
      </c>
      <c r="T11" s="217"/>
      <c r="U11" s="220">
        <f t="shared" si="0"/>
        <v>82944.160000000003</v>
      </c>
    </row>
    <row r="12" spans="1:21" x14ac:dyDescent="0.25">
      <c r="A12" s="217"/>
      <c r="B12" s="217"/>
      <c r="C12" s="217"/>
      <c r="D12" s="217"/>
      <c r="E12" s="217" t="s">
        <v>389</v>
      </c>
      <c r="F12" s="217"/>
      <c r="G12" s="218">
        <v>41631</v>
      </c>
      <c r="H12" s="217"/>
      <c r="I12" s="217" t="s">
        <v>399</v>
      </c>
      <c r="J12" s="217"/>
      <c r="K12" s="217" t="s">
        <v>391</v>
      </c>
      <c r="L12" s="217"/>
      <c r="M12" s="217" t="s">
        <v>402</v>
      </c>
      <c r="N12" s="217"/>
      <c r="O12" s="219"/>
      <c r="P12" s="217"/>
      <c r="Q12" s="217" t="s">
        <v>393</v>
      </c>
      <c r="R12" s="217"/>
      <c r="S12" s="220">
        <v>2733.49</v>
      </c>
      <c r="T12" s="217"/>
      <c r="U12" s="220">
        <f t="shared" si="0"/>
        <v>85677.65</v>
      </c>
    </row>
    <row r="13" spans="1:21" x14ac:dyDescent="0.25">
      <c r="A13" s="217"/>
      <c r="B13" s="217"/>
      <c r="C13" s="217"/>
      <c r="D13" s="217"/>
      <c r="E13" s="217" t="s">
        <v>389</v>
      </c>
      <c r="F13" s="217"/>
      <c r="G13" s="218">
        <v>41665</v>
      </c>
      <c r="H13" s="217"/>
      <c r="I13" s="217" t="s">
        <v>403</v>
      </c>
      <c r="J13" s="217"/>
      <c r="K13" s="217" t="s">
        <v>391</v>
      </c>
      <c r="L13" s="217"/>
      <c r="M13" s="217" t="s">
        <v>404</v>
      </c>
      <c r="N13" s="217"/>
      <c r="O13" s="219"/>
      <c r="P13" s="217"/>
      <c r="Q13" s="217" t="s">
        <v>393</v>
      </c>
      <c r="R13" s="217"/>
      <c r="S13" s="220">
        <v>3187</v>
      </c>
      <c r="T13" s="217"/>
      <c r="U13" s="220">
        <f t="shared" si="0"/>
        <v>88864.65</v>
      </c>
    </row>
    <row r="14" spans="1:21" x14ac:dyDescent="0.25">
      <c r="A14" s="217"/>
      <c r="B14" s="217"/>
      <c r="C14" s="217"/>
      <c r="D14" s="217"/>
      <c r="E14" s="217" t="s">
        <v>389</v>
      </c>
      <c r="F14" s="217"/>
      <c r="G14" s="218">
        <v>41665</v>
      </c>
      <c r="H14" s="217"/>
      <c r="I14" s="217" t="s">
        <v>403</v>
      </c>
      <c r="J14" s="217"/>
      <c r="K14" s="217" t="s">
        <v>391</v>
      </c>
      <c r="L14" s="217"/>
      <c r="M14" s="217"/>
      <c r="N14" s="217"/>
      <c r="O14" s="219"/>
      <c r="P14" s="217"/>
      <c r="Q14" s="217" t="s">
        <v>393</v>
      </c>
      <c r="R14" s="217"/>
      <c r="S14" s="220">
        <v>5807.58</v>
      </c>
      <c r="T14" s="217"/>
      <c r="U14" s="220">
        <f t="shared" si="0"/>
        <v>94672.23</v>
      </c>
    </row>
    <row r="15" spans="1:21" x14ac:dyDescent="0.25">
      <c r="A15" s="217"/>
      <c r="B15" s="217"/>
      <c r="C15" s="217"/>
      <c r="D15" s="217"/>
      <c r="E15" s="217" t="s">
        <v>389</v>
      </c>
      <c r="F15" s="217"/>
      <c r="G15" s="218">
        <v>41665</v>
      </c>
      <c r="H15" s="217"/>
      <c r="I15" s="217" t="s">
        <v>403</v>
      </c>
      <c r="J15" s="217"/>
      <c r="K15" s="217" t="s">
        <v>391</v>
      </c>
      <c r="L15" s="217"/>
      <c r="M15" s="217"/>
      <c r="N15" s="217"/>
      <c r="O15" s="219"/>
      <c r="P15" s="217"/>
      <c r="Q15" s="217" t="s">
        <v>393</v>
      </c>
      <c r="R15" s="217"/>
      <c r="S15" s="220">
        <v>3159</v>
      </c>
      <c r="T15" s="217"/>
      <c r="U15" s="220">
        <f t="shared" si="0"/>
        <v>97831.23</v>
      </c>
    </row>
    <row r="16" spans="1:21" x14ac:dyDescent="0.25">
      <c r="A16" s="217"/>
      <c r="B16" s="217"/>
      <c r="C16" s="217"/>
      <c r="D16" s="217"/>
      <c r="E16" s="217" t="s">
        <v>396</v>
      </c>
      <c r="F16" s="217"/>
      <c r="G16" s="218">
        <v>41682</v>
      </c>
      <c r="H16" s="217"/>
      <c r="I16" s="217" t="s">
        <v>405</v>
      </c>
      <c r="J16" s="217"/>
      <c r="K16" s="217" t="s">
        <v>391</v>
      </c>
      <c r="L16" s="217"/>
      <c r="M16" s="217" t="s">
        <v>406</v>
      </c>
      <c r="N16" s="217"/>
      <c r="O16" s="219"/>
      <c r="P16" s="217"/>
      <c r="Q16" s="217" t="s">
        <v>398</v>
      </c>
      <c r="R16" s="217"/>
      <c r="S16" s="220">
        <v>5603</v>
      </c>
      <c r="T16" s="217"/>
      <c r="U16" s="220">
        <f t="shared" si="0"/>
        <v>103434.23</v>
      </c>
    </row>
    <row r="17" spans="1:21" x14ac:dyDescent="0.25">
      <c r="A17" s="217"/>
      <c r="B17" s="217"/>
      <c r="C17" s="217"/>
      <c r="D17" s="217"/>
      <c r="E17" s="217" t="s">
        <v>396</v>
      </c>
      <c r="F17" s="217"/>
      <c r="G17" s="218">
        <v>41682</v>
      </c>
      <c r="H17" s="217"/>
      <c r="I17" s="217" t="s">
        <v>405</v>
      </c>
      <c r="J17" s="217"/>
      <c r="K17" s="217" t="s">
        <v>391</v>
      </c>
      <c r="L17" s="217"/>
      <c r="M17" s="217" t="s">
        <v>407</v>
      </c>
      <c r="N17" s="217"/>
      <c r="O17" s="219"/>
      <c r="P17" s="217"/>
      <c r="Q17" s="217" t="s">
        <v>398</v>
      </c>
      <c r="R17" s="217"/>
      <c r="S17" s="220">
        <v>5023.74</v>
      </c>
      <c r="T17" s="217"/>
      <c r="U17" s="220">
        <f t="shared" si="0"/>
        <v>108457.97</v>
      </c>
    </row>
    <row r="18" spans="1:21" x14ac:dyDescent="0.25">
      <c r="A18" s="217"/>
      <c r="B18" s="217"/>
      <c r="C18" s="217"/>
      <c r="D18" s="217"/>
      <c r="E18" s="217" t="s">
        <v>396</v>
      </c>
      <c r="F18" s="217"/>
      <c r="G18" s="218">
        <v>41682</v>
      </c>
      <c r="H18" s="217"/>
      <c r="I18" s="217" t="s">
        <v>405</v>
      </c>
      <c r="J18" s="217"/>
      <c r="K18" s="217" t="s">
        <v>391</v>
      </c>
      <c r="L18" s="217"/>
      <c r="M18" s="217" t="s">
        <v>408</v>
      </c>
      <c r="N18" s="217"/>
      <c r="O18" s="219"/>
      <c r="P18" s="217"/>
      <c r="Q18" s="217" t="s">
        <v>398</v>
      </c>
      <c r="R18" s="217"/>
      <c r="S18" s="220">
        <v>2908</v>
      </c>
      <c r="T18" s="217"/>
      <c r="U18" s="220">
        <f t="shared" si="0"/>
        <v>111365.97</v>
      </c>
    </row>
    <row r="19" spans="1:21" x14ac:dyDescent="0.25">
      <c r="A19" s="217"/>
      <c r="B19" s="217"/>
      <c r="C19" s="217"/>
      <c r="D19" s="217"/>
      <c r="E19" s="217" t="s">
        <v>396</v>
      </c>
      <c r="F19" s="217"/>
      <c r="G19" s="218">
        <v>41717</v>
      </c>
      <c r="H19" s="217"/>
      <c r="I19" s="217" t="s">
        <v>409</v>
      </c>
      <c r="J19" s="217"/>
      <c r="K19" s="217" t="s">
        <v>391</v>
      </c>
      <c r="L19" s="217"/>
      <c r="M19" s="217" t="s">
        <v>406</v>
      </c>
      <c r="N19" s="217"/>
      <c r="O19" s="219"/>
      <c r="P19" s="217"/>
      <c r="Q19" s="217" t="s">
        <v>398</v>
      </c>
      <c r="R19" s="217"/>
      <c r="S19" s="220">
        <v>859.22</v>
      </c>
      <c r="T19" s="217"/>
      <c r="U19" s="220">
        <f t="shared" si="0"/>
        <v>112225.19</v>
      </c>
    </row>
    <row r="20" spans="1:21" x14ac:dyDescent="0.25">
      <c r="A20" s="217"/>
      <c r="B20" s="217"/>
      <c r="C20" s="217"/>
      <c r="D20" s="217"/>
      <c r="E20" s="217" t="s">
        <v>396</v>
      </c>
      <c r="F20" s="217"/>
      <c r="G20" s="218">
        <v>41717</v>
      </c>
      <c r="H20" s="217"/>
      <c r="I20" s="217" t="s">
        <v>409</v>
      </c>
      <c r="J20" s="217"/>
      <c r="K20" s="217" t="s">
        <v>391</v>
      </c>
      <c r="L20" s="217"/>
      <c r="M20" s="217" t="s">
        <v>407</v>
      </c>
      <c r="N20" s="217"/>
      <c r="O20" s="219"/>
      <c r="P20" s="217"/>
      <c r="Q20" s="217" t="s">
        <v>398</v>
      </c>
      <c r="R20" s="217"/>
      <c r="S20" s="220">
        <v>1052.46</v>
      </c>
      <c r="T20" s="217"/>
      <c r="U20" s="220">
        <f t="shared" si="0"/>
        <v>113277.65</v>
      </c>
    </row>
    <row r="21" spans="1:21" x14ac:dyDescent="0.25">
      <c r="A21" s="217"/>
      <c r="B21" s="217"/>
      <c r="C21" s="217"/>
      <c r="D21" s="217"/>
      <c r="E21" s="217" t="s">
        <v>396</v>
      </c>
      <c r="F21" s="217"/>
      <c r="G21" s="218">
        <v>41717</v>
      </c>
      <c r="H21" s="217"/>
      <c r="I21" s="217" t="s">
        <v>409</v>
      </c>
      <c r="J21" s="217"/>
      <c r="K21" s="217" t="s">
        <v>391</v>
      </c>
      <c r="L21" s="217"/>
      <c r="M21" s="217" t="s">
        <v>408</v>
      </c>
      <c r="N21" s="217"/>
      <c r="O21" s="219"/>
      <c r="P21" s="217"/>
      <c r="Q21" s="217" t="s">
        <v>398</v>
      </c>
      <c r="R21" s="217"/>
      <c r="S21" s="220">
        <v>478.62</v>
      </c>
      <c r="T21" s="217"/>
      <c r="U21" s="220">
        <f t="shared" si="0"/>
        <v>113756.27</v>
      </c>
    </row>
    <row r="22" spans="1:21" x14ac:dyDescent="0.25">
      <c r="A22" s="217"/>
      <c r="B22" s="217"/>
      <c r="C22" s="217"/>
      <c r="D22" s="217"/>
      <c r="E22" s="217" t="s">
        <v>396</v>
      </c>
      <c r="F22" s="217"/>
      <c r="G22" s="218">
        <v>41759</v>
      </c>
      <c r="H22" s="217"/>
      <c r="I22" s="217" t="s">
        <v>410</v>
      </c>
      <c r="J22" s="217"/>
      <c r="K22" s="217" t="s">
        <v>391</v>
      </c>
      <c r="L22" s="217"/>
      <c r="M22" s="217" t="s">
        <v>406</v>
      </c>
      <c r="N22" s="217"/>
      <c r="O22" s="219"/>
      <c r="P22" s="217"/>
      <c r="Q22" s="217" t="s">
        <v>398</v>
      </c>
      <c r="R22" s="217"/>
      <c r="S22" s="220">
        <v>1857.09</v>
      </c>
      <c r="T22" s="217"/>
      <c r="U22" s="220">
        <f t="shared" si="0"/>
        <v>115613.36</v>
      </c>
    </row>
    <row r="23" spans="1:21" x14ac:dyDescent="0.25">
      <c r="A23" s="217"/>
      <c r="B23" s="217"/>
      <c r="C23" s="217"/>
      <c r="D23" s="217"/>
      <c r="E23" s="217" t="s">
        <v>396</v>
      </c>
      <c r="F23" s="217"/>
      <c r="G23" s="218">
        <v>41759</v>
      </c>
      <c r="H23" s="217"/>
      <c r="I23" s="217" t="s">
        <v>410</v>
      </c>
      <c r="J23" s="217"/>
      <c r="K23" s="217" t="s">
        <v>391</v>
      </c>
      <c r="L23" s="217"/>
      <c r="M23" s="217" t="s">
        <v>407</v>
      </c>
      <c r="N23" s="217"/>
      <c r="O23" s="219"/>
      <c r="P23" s="217"/>
      <c r="Q23" s="217" t="s">
        <v>398</v>
      </c>
      <c r="R23" s="217"/>
      <c r="S23" s="220">
        <v>2747.12</v>
      </c>
      <c r="T23" s="217"/>
      <c r="U23" s="220">
        <f t="shared" si="0"/>
        <v>118360.48</v>
      </c>
    </row>
    <row r="24" spans="1:21" x14ac:dyDescent="0.25">
      <c r="A24" s="217"/>
      <c r="B24" s="217"/>
      <c r="C24" s="217"/>
      <c r="D24" s="217"/>
      <c r="E24" s="217" t="s">
        <v>396</v>
      </c>
      <c r="F24" s="217"/>
      <c r="G24" s="218">
        <v>41759</v>
      </c>
      <c r="H24" s="217"/>
      <c r="I24" s="217" t="s">
        <v>410</v>
      </c>
      <c r="J24" s="217"/>
      <c r="K24" s="217" t="s">
        <v>391</v>
      </c>
      <c r="L24" s="217"/>
      <c r="M24" s="217" t="s">
        <v>408</v>
      </c>
      <c r="N24" s="217"/>
      <c r="O24" s="219"/>
      <c r="P24" s="217"/>
      <c r="Q24" s="217" t="s">
        <v>398</v>
      </c>
      <c r="R24" s="217"/>
      <c r="S24" s="220">
        <v>1078.48</v>
      </c>
      <c r="T24" s="217"/>
      <c r="U24" s="220">
        <f t="shared" si="0"/>
        <v>119438.96</v>
      </c>
    </row>
    <row r="25" spans="1:21" x14ac:dyDescent="0.25">
      <c r="A25" s="217"/>
      <c r="B25" s="217"/>
      <c r="C25" s="217"/>
      <c r="D25" s="217"/>
      <c r="E25" s="217" t="s">
        <v>389</v>
      </c>
      <c r="F25" s="217"/>
      <c r="G25" s="218">
        <v>41786</v>
      </c>
      <c r="H25" s="217"/>
      <c r="I25" s="217" t="s">
        <v>411</v>
      </c>
      <c r="J25" s="217"/>
      <c r="K25" s="217" t="s">
        <v>391</v>
      </c>
      <c r="L25" s="217"/>
      <c r="M25" s="217" t="s">
        <v>412</v>
      </c>
      <c r="N25" s="217"/>
      <c r="O25" s="219"/>
      <c r="P25" s="217"/>
      <c r="Q25" s="217" t="s">
        <v>393</v>
      </c>
      <c r="R25" s="217"/>
      <c r="S25" s="220">
        <v>4856.91</v>
      </c>
      <c r="T25" s="217"/>
      <c r="U25" s="220">
        <f t="shared" si="0"/>
        <v>124295.87</v>
      </c>
    </row>
    <row r="26" spans="1:21" x14ac:dyDescent="0.25">
      <c r="A26" s="217"/>
      <c r="B26" s="217"/>
      <c r="C26" s="217"/>
      <c r="D26" s="217"/>
      <c r="E26" s="217" t="s">
        <v>389</v>
      </c>
      <c r="F26" s="217"/>
      <c r="G26" s="218">
        <v>41786</v>
      </c>
      <c r="H26" s="217"/>
      <c r="I26" s="217" t="s">
        <v>411</v>
      </c>
      <c r="J26" s="217"/>
      <c r="K26" s="217" t="s">
        <v>391</v>
      </c>
      <c r="L26" s="217"/>
      <c r="M26" s="217" t="s">
        <v>407</v>
      </c>
      <c r="N26" s="217"/>
      <c r="O26" s="219"/>
      <c r="P26" s="217"/>
      <c r="Q26" s="217" t="s">
        <v>393</v>
      </c>
      <c r="R26" s="217"/>
      <c r="S26" s="220">
        <v>6725.45</v>
      </c>
      <c r="T26" s="217"/>
      <c r="U26" s="220">
        <f t="shared" si="0"/>
        <v>131021.32</v>
      </c>
    </row>
    <row r="27" spans="1:21" x14ac:dyDescent="0.25">
      <c r="A27" s="217"/>
      <c r="B27" s="217"/>
      <c r="C27" s="217"/>
      <c r="D27" s="217"/>
      <c r="E27" s="217" t="s">
        <v>389</v>
      </c>
      <c r="F27" s="217"/>
      <c r="G27" s="218">
        <v>41786</v>
      </c>
      <c r="H27" s="217"/>
      <c r="I27" s="217" t="s">
        <v>411</v>
      </c>
      <c r="J27" s="217"/>
      <c r="K27" s="217" t="s">
        <v>391</v>
      </c>
      <c r="L27" s="217"/>
      <c r="M27" s="217" t="s">
        <v>408</v>
      </c>
      <c r="N27" s="217"/>
      <c r="O27" s="219"/>
      <c r="P27" s="217"/>
      <c r="Q27" s="217" t="s">
        <v>393</v>
      </c>
      <c r="R27" s="217"/>
      <c r="S27" s="220">
        <v>1965.52</v>
      </c>
      <c r="T27" s="217"/>
      <c r="U27" s="220">
        <f t="shared" si="0"/>
        <v>132986.84</v>
      </c>
    </row>
    <row r="28" spans="1:21" x14ac:dyDescent="0.25">
      <c r="A28" s="217"/>
      <c r="B28" s="217"/>
      <c r="C28" s="217"/>
      <c r="D28" s="217"/>
      <c r="E28" s="217" t="s">
        <v>396</v>
      </c>
      <c r="F28" s="217"/>
      <c r="G28" s="218">
        <v>41820</v>
      </c>
      <c r="H28" s="217"/>
      <c r="I28" s="217" t="s">
        <v>413</v>
      </c>
      <c r="J28" s="217"/>
      <c r="K28" s="217" t="s">
        <v>391</v>
      </c>
      <c r="L28" s="217"/>
      <c r="M28" s="217" t="s">
        <v>406</v>
      </c>
      <c r="N28" s="217"/>
      <c r="O28" s="219"/>
      <c r="P28" s="217"/>
      <c r="Q28" s="217" t="s">
        <v>398</v>
      </c>
      <c r="R28" s="217"/>
      <c r="S28" s="220">
        <v>8709.86</v>
      </c>
      <c r="T28" s="217"/>
      <c r="U28" s="220">
        <f t="shared" si="0"/>
        <v>141696.70000000001</v>
      </c>
    </row>
    <row r="29" spans="1:21" x14ac:dyDescent="0.25">
      <c r="A29" s="217"/>
      <c r="B29" s="217"/>
      <c r="C29" s="217"/>
      <c r="D29" s="217"/>
      <c r="E29" s="217" t="s">
        <v>396</v>
      </c>
      <c r="F29" s="217"/>
      <c r="G29" s="218">
        <v>41820</v>
      </c>
      <c r="H29" s="217"/>
      <c r="I29" s="217" t="s">
        <v>413</v>
      </c>
      <c r="J29" s="217"/>
      <c r="K29" s="217" t="s">
        <v>391</v>
      </c>
      <c r="L29" s="217"/>
      <c r="M29" s="217" t="s">
        <v>407</v>
      </c>
      <c r="N29" s="217"/>
      <c r="O29" s="219"/>
      <c r="P29" s="217"/>
      <c r="Q29" s="217" t="s">
        <v>398</v>
      </c>
      <c r="R29" s="217"/>
      <c r="S29" s="220">
        <v>10133.27</v>
      </c>
      <c r="T29" s="217"/>
      <c r="U29" s="220">
        <f t="shared" si="0"/>
        <v>151829.97</v>
      </c>
    </row>
    <row r="30" spans="1:21" x14ac:dyDescent="0.25">
      <c r="A30" s="217"/>
      <c r="B30" s="217"/>
      <c r="C30" s="217"/>
      <c r="D30" s="217"/>
      <c r="E30" s="217" t="s">
        <v>396</v>
      </c>
      <c r="F30" s="217"/>
      <c r="G30" s="218">
        <v>41820</v>
      </c>
      <c r="H30" s="217"/>
      <c r="I30" s="217" t="s">
        <v>413</v>
      </c>
      <c r="J30" s="217"/>
      <c r="K30" s="217" t="s">
        <v>391</v>
      </c>
      <c r="L30" s="217"/>
      <c r="M30" s="217" t="s">
        <v>408</v>
      </c>
      <c r="N30" s="217"/>
      <c r="O30" s="219"/>
      <c r="P30" s="217"/>
      <c r="Q30" s="217" t="s">
        <v>398</v>
      </c>
      <c r="R30" s="217"/>
      <c r="S30" s="220">
        <v>4594.07</v>
      </c>
      <c r="T30" s="217"/>
      <c r="U30" s="220">
        <f t="shared" si="0"/>
        <v>156424.04</v>
      </c>
    </row>
    <row r="31" spans="1:21" x14ac:dyDescent="0.25">
      <c r="A31" s="217"/>
      <c r="B31" s="217"/>
      <c r="C31" s="217"/>
      <c r="D31" s="217"/>
      <c r="E31" s="217" t="s">
        <v>396</v>
      </c>
      <c r="F31" s="217"/>
      <c r="G31" s="218">
        <v>41851</v>
      </c>
      <c r="H31" s="217"/>
      <c r="I31" s="217" t="s">
        <v>414</v>
      </c>
      <c r="J31" s="217"/>
      <c r="K31" s="217" t="s">
        <v>391</v>
      </c>
      <c r="L31" s="217"/>
      <c r="M31" s="217" t="s">
        <v>406</v>
      </c>
      <c r="N31" s="217"/>
      <c r="O31" s="219"/>
      <c r="P31" s="217"/>
      <c r="Q31" s="217" t="s">
        <v>398</v>
      </c>
      <c r="R31" s="217"/>
      <c r="S31" s="220">
        <v>365.7</v>
      </c>
      <c r="T31" s="217"/>
      <c r="U31" s="220">
        <f t="shared" si="0"/>
        <v>156789.74</v>
      </c>
    </row>
    <row r="32" spans="1:21" x14ac:dyDescent="0.25">
      <c r="A32" s="217"/>
      <c r="B32" s="217"/>
      <c r="C32" s="217"/>
      <c r="D32" s="217"/>
      <c r="E32" s="217" t="s">
        <v>396</v>
      </c>
      <c r="F32" s="217"/>
      <c r="G32" s="218">
        <v>41851</v>
      </c>
      <c r="H32" s="217"/>
      <c r="I32" s="217" t="s">
        <v>414</v>
      </c>
      <c r="J32" s="217"/>
      <c r="K32" s="217" t="s">
        <v>391</v>
      </c>
      <c r="L32" s="217"/>
      <c r="M32" s="217" t="s">
        <v>407</v>
      </c>
      <c r="N32" s="217"/>
      <c r="O32" s="219"/>
      <c r="P32" s="217"/>
      <c r="Q32" s="217" t="s">
        <v>398</v>
      </c>
      <c r="R32" s="217"/>
      <c r="S32" s="220">
        <v>396.52</v>
      </c>
      <c r="T32" s="217"/>
      <c r="U32" s="220">
        <f t="shared" si="0"/>
        <v>157186.26</v>
      </c>
    </row>
    <row r="33" spans="1:21" x14ac:dyDescent="0.25">
      <c r="A33" s="217"/>
      <c r="B33" s="217"/>
      <c r="C33" s="217"/>
      <c r="D33" s="217"/>
      <c r="E33" s="217" t="s">
        <v>396</v>
      </c>
      <c r="F33" s="217"/>
      <c r="G33" s="218">
        <v>41851</v>
      </c>
      <c r="H33" s="217"/>
      <c r="I33" s="217" t="s">
        <v>414</v>
      </c>
      <c r="J33" s="217"/>
      <c r="K33" s="217" t="s">
        <v>391</v>
      </c>
      <c r="L33" s="217"/>
      <c r="M33" s="217" t="s">
        <v>408</v>
      </c>
      <c r="N33" s="217"/>
      <c r="O33" s="219"/>
      <c r="P33" s="217"/>
      <c r="Q33" s="217" t="s">
        <v>398</v>
      </c>
      <c r="R33" s="217"/>
      <c r="S33" s="220">
        <v>192.6</v>
      </c>
      <c r="T33" s="217"/>
      <c r="U33" s="220">
        <f t="shared" si="0"/>
        <v>157378.85999999999</v>
      </c>
    </row>
    <row r="34" spans="1:21" x14ac:dyDescent="0.25">
      <c r="A34" s="217"/>
      <c r="B34" s="217"/>
      <c r="C34" s="217"/>
      <c r="D34" s="217"/>
      <c r="E34" s="217" t="s">
        <v>396</v>
      </c>
      <c r="F34" s="217"/>
      <c r="G34" s="218">
        <v>41882</v>
      </c>
      <c r="H34" s="217"/>
      <c r="I34" s="217" t="s">
        <v>415</v>
      </c>
      <c r="J34" s="217"/>
      <c r="K34" s="217" t="s">
        <v>391</v>
      </c>
      <c r="L34" s="217"/>
      <c r="M34" s="217" t="s">
        <v>408</v>
      </c>
      <c r="N34" s="217"/>
      <c r="O34" s="219"/>
      <c r="P34" s="217"/>
      <c r="Q34" s="217" t="s">
        <v>416</v>
      </c>
      <c r="R34" s="217"/>
      <c r="S34" s="220">
        <v>78</v>
      </c>
      <c r="T34" s="217"/>
      <c r="U34" s="220">
        <f t="shared" si="0"/>
        <v>157456.85999999999</v>
      </c>
    </row>
    <row r="35" spans="1:21" x14ac:dyDescent="0.25">
      <c r="A35" s="217"/>
      <c r="B35" s="217"/>
      <c r="C35" s="217"/>
      <c r="D35" s="217"/>
      <c r="E35" s="217" t="s">
        <v>396</v>
      </c>
      <c r="F35" s="217"/>
      <c r="G35" s="218">
        <v>41882</v>
      </c>
      <c r="H35" s="217"/>
      <c r="I35" s="217" t="s">
        <v>415</v>
      </c>
      <c r="J35" s="217"/>
      <c r="K35" s="217" t="s">
        <v>391</v>
      </c>
      <c r="L35" s="217"/>
      <c r="M35" s="217" t="s">
        <v>407</v>
      </c>
      <c r="N35" s="217"/>
      <c r="O35" s="219"/>
      <c r="P35" s="217"/>
      <c r="Q35" s="217" t="s">
        <v>416</v>
      </c>
      <c r="R35" s="217"/>
      <c r="S35" s="220">
        <v>76.91</v>
      </c>
      <c r="T35" s="217"/>
      <c r="U35" s="220">
        <f t="shared" si="0"/>
        <v>157533.76999999999</v>
      </c>
    </row>
    <row r="36" spans="1:21" x14ac:dyDescent="0.25">
      <c r="A36" s="217"/>
      <c r="B36" s="217"/>
      <c r="C36" s="217"/>
      <c r="D36" s="217"/>
      <c r="E36" s="217" t="s">
        <v>396</v>
      </c>
      <c r="F36" s="217"/>
      <c r="G36" s="218">
        <v>41882</v>
      </c>
      <c r="H36" s="217"/>
      <c r="I36" s="217" t="s">
        <v>415</v>
      </c>
      <c r="J36" s="217"/>
      <c r="K36" s="217" t="s">
        <v>391</v>
      </c>
      <c r="L36" s="217"/>
      <c r="M36" s="217" t="s">
        <v>406</v>
      </c>
      <c r="N36" s="217"/>
      <c r="O36" s="219"/>
      <c r="P36" s="217"/>
      <c r="Q36" s="217" t="s">
        <v>416</v>
      </c>
      <c r="R36" s="217"/>
      <c r="S36" s="220">
        <v>131.36000000000001</v>
      </c>
      <c r="T36" s="217"/>
      <c r="U36" s="220">
        <f t="shared" si="0"/>
        <v>157665.13</v>
      </c>
    </row>
    <row r="37" spans="1:21" x14ac:dyDescent="0.25">
      <c r="A37" s="217"/>
      <c r="B37" s="217"/>
      <c r="C37" s="217"/>
      <c r="D37" s="217"/>
      <c r="E37" s="217" t="s">
        <v>396</v>
      </c>
      <c r="F37" s="217"/>
      <c r="G37" s="218">
        <v>41935</v>
      </c>
      <c r="H37" s="217"/>
      <c r="I37" s="217" t="s">
        <v>417</v>
      </c>
      <c r="J37" s="217"/>
      <c r="K37" s="217" t="s">
        <v>391</v>
      </c>
      <c r="L37" s="217"/>
      <c r="M37" s="217" t="s">
        <v>406</v>
      </c>
      <c r="N37" s="217"/>
      <c r="O37" s="219"/>
      <c r="P37" s="217"/>
      <c r="Q37" s="217" t="s">
        <v>416</v>
      </c>
      <c r="R37" s="217"/>
      <c r="S37" s="220">
        <v>240</v>
      </c>
      <c r="T37" s="217"/>
      <c r="U37" s="220">
        <f t="shared" si="0"/>
        <v>157905.13</v>
      </c>
    </row>
    <row r="38" spans="1:21" x14ac:dyDescent="0.25">
      <c r="A38" s="217"/>
      <c r="B38" s="217"/>
      <c r="C38" s="217"/>
      <c r="D38" s="217"/>
      <c r="E38" s="217" t="s">
        <v>396</v>
      </c>
      <c r="F38" s="217"/>
      <c r="G38" s="218">
        <v>41935</v>
      </c>
      <c r="H38" s="217"/>
      <c r="I38" s="217" t="s">
        <v>417</v>
      </c>
      <c r="J38" s="217"/>
      <c r="K38" s="217" t="s">
        <v>391</v>
      </c>
      <c r="L38" s="217"/>
      <c r="M38" s="217" t="s">
        <v>407</v>
      </c>
      <c r="N38" s="217"/>
      <c r="O38" s="219"/>
      <c r="P38" s="217"/>
      <c r="Q38" s="217" t="s">
        <v>416</v>
      </c>
      <c r="R38" s="217"/>
      <c r="S38" s="220">
        <v>128.19</v>
      </c>
      <c r="T38" s="217"/>
      <c r="U38" s="220">
        <f t="shared" si="0"/>
        <v>158033.32</v>
      </c>
    </row>
    <row r="39" spans="1:21" x14ac:dyDescent="0.25">
      <c r="A39" s="217"/>
      <c r="B39" s="217"/>
      <c r="C39" s="217"/>
      <c r="D39" s="217"/>
      <c r="E39" s="217" t="s">
        <v>396</v>
      </c>
      <c r="F39" s="217"/>
      <c r="G39" s="218">
        <v>41935</v>
      </c>
      <c r="H39" s="217"/>
      <c r="I39" s="217" t="s">
        <v>417</v>
      </c>
      <c r="J39" s="217"/>
      <c r="K39" s="217" t="s">
        <v>391</v>
      </c>
      <c r="L39" s="217"/>
      <c r="M39" s="217" t="s">
        <v>408</v>
      </c>
      <c r="N39" s="217"/>
      <c r="O39" s="219"/>
      <c r="P39" s="217"/>
      <c r="Q39" s="217" t="s">
        <v>416</v>
      </c>
      <c r="R39" s="217"/>
      <c r="S39" s="220">
        <v>152</v>
      </c>
      <c r="T39" s="217"/>
      <c r="U39" s="220">
        <f t="shared" si="0"/>
        <v>158185.32</v>
      </c>
    </row>
    <row r="40" spans="1:21" x14ac:dyDescent="0.25">
      <c r="A40" s="217"/>
      <c r="B40" s="217"/>
      <c r="C40" s="217"/>
      <c r="D40" s="217"/>
      <c r="E40" s="217" t="s">
        <v>418</v>
      </c>
      <c r="F40" s="217"/>
      <c r="G40" s="218">
        <v>41943</v>
      </c>
      <c r="H40" s="217"/>
      <c r="I40" s="217" t="s">
        <v>419</v>
      </c>
      <c r="J40" s="217"/>
      <c r="K40" s="217" t="s">
        <v>391</v>
      </c>
      <c r="L40" s="217"/>
      <c r="M40" s="217"/>
      <c r="N40" s="217"/>
      <c r="O40" s="219"/>
      <c r="P40" s="217"/>
      <c r="Q40" s="217" t="s">
        <v>416</v>
      </c>
      <c r="R40" s="217"/>
      <c r="S40" s="220">
        <v>-286.27</v>
      </c>
      <c r="T40" s="217"/>
      <c r="U40" s="220">
        <f t="shared" si="0"/>
        <v>157899.04999999999</v>
      </c>
    </row>
    <row r="41" spans="1:21" x14ac:dyDescent="0.25">
      <c r="A41" s="217"/>
      <c r="B41" s="217"/>
      <c r="C41" s="217"/>
      <c r="D41" s="217"/>
      <c r="E41" s="217" t="s">
        <v>418</v>
      </c>
      <c r="F41" s="217"/>
      <c r="G41" s="218">
        <v>41943</v>
      </c>
      <c r="H41" s="217"/>
      <c r="I41" s="217" t="s">
        <v>419</v>
      </c>
      <c r="J41" s="217"/>
      <c r="K41" s="217" t="s">
        <v>391</v>
      </c>
      <c r="L41" s="217"/>
      <c r="M41" s="217"/>
      <c r="N41" s="217"/>
      <c r="O41" s="219"/>
      <c r="P41" s="217"/>
      <c r="Q41" s="217" t="s">
        <v>416</v>
      </c>
      <c r="R41" s="217"/>
      <c r="S41" s="220">
        <v>0</v>
      </c>
      <c r="T41" s="217"/>
      <c r="U41" s="220">
        <f t="shared" si="0"/>
        <v>157899.04999999999</v>
      </c>
    </row>
    <row r="42" spans="1:21" x14ac:dyDescent="0.25">
      <c r="A42" s="217"/>
      <c r="B42" s="217"/>
      <c r="C42" s="217"/>
      <c r="D42" s="217"/>
      <c r="E42" s="217" t="s">
        <v>418</v>
      </c>
      <c r="F42" s="217"/>
      <c r="G42" s="218">
        <v>41943</v>
      </c>
      <c r="H42" s="217"/>
      <c r="I42" s="217" t="s">
        <v>419</v>
      </c>
      <c r="J42" s="217"/>
      <c r="K42" s="217" t="s">
        <v>391</v>
      </c>
      <c r="L42" s="217"/>
      <c r="M42" s="217"/>
      <c r="N42" s="217"/>
      <c r="O42" s="219"/>
      <c r="P42" s="217"/>
      <c r="Q42" s="217" t="s">
        <v>416</v>
      </c>
      <c r="R42" s="217"/>
      <c r="S42" s="220">
        <v>0</v>
      </c>
      <c r="T42" s="217"/>
      <c r="U42" s="220">
        <f t="shared" si="0"/>
        <v>157899.04999999999</v>
      </c>
    </row>
    <row r="43" spans="1:21" x14ac:dyDescent="0.25">
      <c r="A43" s="217"/>
      <c r="B43" s="217"/>
      <c r="C43" s="217"/>
      <c r="D43" s="217"/>
      <c r="E43" s="217" t="s">
        <v>396</v>
      </c>
      <c r="F43" s="217"/>
      <c r="G43" s="218">
        <v>41967</v>
      </c>
      <c r="H43" s="217"/>
      <c r="I43" s="217" t="s">
        <v>420</v>
      </c>
      <c r="J43" s="217"/>
      <c r="K43" s="217" t="s">
        <v>391</v>
      </c>
      <c r="L43" s="217"/>
      <c r="M43" s="217" t="s">
        <v>406</v>
      </c>
      <c r="N43" s="217"/>
      <c r="O43" s="219"/>
      <c r="P43" s="217"/>
      <c r="Q43" s="217" t="s">
        <v>416</v>
      </c>
      <c r="R43" s="217"/>
      <c r="S43" s="220">
        <v>3970</v>
      </c>
      <c r="T43" s="217"/>
      <c r="U43" s="220">
        <f t="shared" si="0"/>
        <v>161869.04999999999</v>
      </c>
    </row>
    <row r="44" spans="1:21" x14ac:dyDescent="0.25">
      <c r="A44" s="217"/>
      <c r="B44" s="217"/>
      <c r="C44" s="217"/>
      <c r="D44" s="217"/>
      <c r="E44" s="217" t="s">
        <v>396</v>
      </c>
      <c r="F44" s="217"/>
      <c r="G44" s="218">
        <v>41967</v>
      </c>
      <c r="H44" s="217"/>
      <c r="I44" s="217" t="s">
        <v>420</v>
      </c>
      <c r="J44" s="217"/>
      <c r="K44" s="217" t="s">
        <v>391</v>
      </c>
      <c r="L44" s="217"/>
      <c r="M44" s="217" t="s">
        <v>407</v>
      </c>
      <c r="N44" s="217"/>
      <c r="O44" s="219"/>
      <c r="P44" s="217"/>
      <c r="Q44" s="217" t="s">
        <v>416</v>
      </c>
      <c r="R44" s="217"/>
      <c r="S44" s="220">
        <v>5809.51</v>
      </c>
      <c r="T44" s="217"/>
      <c r="U44" s="220">
        <f t="shared" si="0"/>
        <v>167678.56</v>
      </c>
    </row>
    <row r="45" spans="1:21" x14ac:dyDescent="0.25">
      <c r="A45" s="217"/>
      <c r="B45" s="217"/>
      <c r="C45" s="217"/>
      <c r="D45" s="217"/>
      <c r="E45" s="217" t="s">
        <v>396</v>
      </c>
      <c r="F45" s="217"/>
      <c r="G45" s="218">
        <v>41967</v>
      </c>
      <c r="H45" s="217"/>
      <c r="I45" s="217" t="s">
        <v>420</v>
      </c>
      <c r="J45" s="217"/>
      <c r="K45" s="217" t="s">
        <v>391</v>
      </c>
      <c r="L45" s="217"/>
      <c r="M45" s="217" t="s">
        <v>408</v>
      </c>
      <c r="N45" s="217"/>
      <c r="O45" s="219"/>
      <c r="P45" s="217"/>
      <c r="Q45" s="217" t="s">
        <v>416</v>
      </c>
      <c r="R45" s="217"/>
      <c r="S45" s="220">
        <v>2487</v>
      </c>
      <c r="T45" s="217"/>
      <c r="U45" s="220">
        <f t="shared" si="0"/>
        <v>170165.56</v>
      </c>
    </row>
    <row r="46" spans="1:21" x14ac:dyDescent="0.25">
      <c r="A46" s="217"/>
      <c r="B46" s="217"/>
      <c r="C46" s="217"/>
      <c r="D46" s="217"/>
      <c r="E46" s="217" t="s">
        <v>396</v>
      </c>
      <c r="F46" s="217"/>
      <c r="G46" s="218">
        <v>41992</v>
      </c>
      <c r="H46" s="217"/>
      <c r="I46" s="217" t="s">
        <v>421</v>
      </c>
      <c r="J46" s="217"/>
      <c r="K46" s="217" t="s">
        <v>391</v>
      </c>
      <c r="L46" s="217"/>
      <c r="M46" s="217" t="s">
        <v>406</v>
      </c>
      <c r="N46" s="217"/>
      <c r="O46" s="219"/>
      <c r="P46" s="217"/>
      <c r="Q46" s="217" t="s">
        <v>416</v>
      </c>
      <c r="R46" s="217"/>
      <c r="S46" s="220">
        <v>4502</v>
      </c>
      <c r="T46" s="217"/>
      <c r="U46" s="220">
        <f t="shared" si="0"/>
        <v>174667.56</v>
      </c>
    </row>
    <row r="47" spans="1:21" x14ac:dyDescent="0.25">
      <c r="A47" s="217"/>
      <c r="B47" s="217"/>
      <c r="C47" s="217"/>
      <c r="D47" s="217"/>
      <c r="E47" s="217" t="s">
        <v>396</v>
      </c>
      <c r="F47" s="217"/>
      <c r="G47" s="218">
        <v>41992</v>
      </c>
      <c r="H47" s="217"/>
      <c r="I47" s="217" t="s">
        <v>421</v>
      </c>
      <c r="J47" s="217"/>
      <c r="K47" s="217" t="s">
        <v>391</v>
      </c>
      <c r="L47" s="217"/>
      <c r="M47" s="217" t="s">
        <v>407</v>
      </c>
      <c r="N47" s="217"/>
      <c r="O47" s="219"/>
      <c r="P47" s="217"/>
      <c r="Q47" s="217" t="s">
        <v>416</v>
      </c>
      <c r="R47" s="217"/>
      <c r="S47" s="220">
        <v>5570.28</v>
      </c>
      <c r="T47" s="217"/>
      <c r="U47" s="220">
        <f t="shared" si="0"/>
        <v>180237.84</v>
      </c>
    </row>
    <row r="48" spans="1:21" x14ac:dyDescent="0.25">
      <c r="A48" s="217"/>
      <c r="B48" s="217"/>
      <c r="C48" s="217"/>
      <c r="D48" s="217"/>
      <c r="E48" s="217" t="s">
        <v>396</v>
      </c>
      <c r="F48" s="217"/>
      <c r="G48" s="218">
        <v>41992</v>
      </c>
      <c r="H48" s="217"/>
      <c r="I48" s="217" t="s">
        <v>421</v>
      </c>
      <c r="J48" s="217"/>
      <c r="K48" s="217" t="s">
        <v>391</v>
      </c>
      <c r="L48" s="217"/>
      <c r="M48" s="217" t="s">
        <v>408</v>
      </c>
      <c r="N48" s="217"/>
      <c r="O48" s="219"/>
      <c r="P48" s="217"/>
      <c r="Q48" s="217" t="s">
        <v>416</v>
      </c>
      <c r="R48" s="217"/>
      <c r="S48" s="220">
        <v>2658</v>
      </c>
      <c r="T48" s="217"/>
      <c r="U48" s="220">
        <f t="shared" si="0"/>
        <v>182895.84</v>
      </c>
    </row>
    <row r="49" spans="1:21" x14ac:dyDescent="0.25">
      <c r="A49" s="217"/>
      <c r="B49" s="217"/>
      <c r="C49" s="217"/>
      <c r="D49" s="217"/>
      <c r="E49" s="217" t="s">
        <v>396</v>
      </c>
      <c r="F49" s="217"/>
      <c r="G49" s="218">
        <v>42027</v>
      </c>
      <c r="H49" s="217"/>
      <c r="I49" s="217" t="s">
        <v>422</v>
      </c>
      <c r="J49" s="217"/>
      <c r="K49" s="217" t="s">
        <v>391</v>
      </c>
      <c r="L49" s="217"/>
      <c r="M49" s="217" t="s">
        <v>406</v>
      </c>
      <c r="N49" s="217"/>
      <c r="O49" s="219"/>
      <c r="P49" s="217"/>
      <c r="Q49" s="217" t="s">
        <v>416</v>
      </c>
      <c r="R49" s="217"/>
      <c r="S49" s="220">
        <v>4710</v>
      </c>
      <c r="T49" s="217"/>
      <c r="U49" s="220">
        <f t="shared" si="0"/>
        <v>187605.84</v>
      </c>
    </row>
    <row r="50" spans="1:21" x14ac:dyDescent="0.25">
      <c r="A50" s="217"/>
      <c r="B50" s="217"/>
      <c r="C50" s="217"/>
      <c r="D50" s="217"/>
      <c r="E50" s="217" t="s">
        <v>396</v>
      </c>
      <c r="F50" s="217"/>
      <c r="G50" s="218">
        <v>42027</v>
      </c>
      <c r="H50" s="217"/>
      <c r="I50" s="217" t="s">
        <v>422</v>
      </c>
      <c r="J50" s="217"/>
      <c r="K50" s="217" t="s">
        <v>391</v>
      </c>
      <c r="L50" s="217"/>
      <c r="M50" s="217" t="s">
        <v>407</v>
      </c>
      <c r="N50" s="217"/>
      <c r="O50" s="219"/>
      <c r="P50" s="217"/>
      <c r="Q50" s="217" t="s">
        <v>416</v>
      </c>
      <c r="R50" s="217"/>
      <c r="S50" s="220">
        <v>5576.17</v>
      </c>
      <c r="T50" s="217"/>
      <c r="U50" s="220">
        <f t="shared" si="0"/>
        <v>193182.01</v>
      </c>
    </row>
    <row r="51" spans="1:21" x14ac:dyDescent="0.25">
      <c r="A51" s="217"/>
      <c r="B51" s="217"/>
      <c r="C51" s="217"/>
      <c r="D51" s="217"/>
      <c r="E51" s="217" t="s">
        <v>396</v>
      </c>
      <c r="F51" s="217"/>
      <c r="G51" s="218">
        <v>42027</v>
      </c>
      <c r="H51" s="217"/>
      <c r="I51" s="217" t="s">
        <v>422</v>
      </c>
      <c r="J51" s="217"/>
      <c r="K51" s="217" t="s">
        <v>391</v>
      </c>
      <c r="L51" s="217"/>
      <c r="M51" s="217" t="s">
        <v>408</v>
      </c>
      <c r="N51" s="217"/>
      <c r="O51" s="219"/>
      <c r="P51" s="217"/>
      <c r="Q51" s="217" t="s">
        <v>416</v>
      </c>
      <c r="R51" s="217"/>
      <c r="S51" s="220">
        <v>2661</v>
      </c>
      <c r="T51" s="217"/>
      <c r="U51" s="220">
        <f t="shared" si="0"/>
        <v>195843.01</v>
      </c>
    </row>
    <row r="52" spans="1:21" x14ac:dyDescent="0.25">
      <c r="A52" s="217"/>
      <c r="B52" s="217"/>
      <c r="C52" s="217"/>
      <c r="D52" s="217"/>
      <c r="E52" s="217" t="s">
        <v>396</v>
      </c>
      <c r="F52" s="217"/>
      <c r="G52" s="218">
        <v>42058</v>
      </c>
      <c r="H52" s="217"/>
      <c r="I52" s="217" t="s">
        <v>423</v>
      </c>
      <c r="J52" s="217"/>
      <c r="K52" s="217" t="s">
        <v>391</v>
      </c>
      <c r="L52" s="217"/>
      <c r="M52" s="217" t="s">
        <v>406</v>
      </c>
      <c r="N52" s="217"/>
      <c r="O52" s="219"/>
      <c r="P52" s="217"/>
      <c r="Q52" s="217" t="s">
        <v>416</v>
      </c>
      <c r="R52" s="217"/>
      <c r="S52" s="220">
        <v>6710</v>
      </c>
      <c r="T52" s="217"/>
      <c r="U52" s="220">
        <f t="shared" si="0"/>
        <v>202553.01</v>
      </c>
    </row>
    <row r="53" spans="1:21" x14ac:dyDescent="0.25">
      <c r="A53" s="217"/>
      <c r="B53" s="217"/>
      <c r="C53" s="217"/>
      <c r="D53" s="217"/>
      <c r="E53" s="217" t="s">
        <v>396</v>
      </c>
      <c r="F53" s="217"/>
      <c r="G53" s="218">
        <v>42058</v>
      </c>
      <c r="H53" s="217"/>
      <c r="I53" s="217" t="s">
        <v>423</v>
      </c>
      <c r="J53" s="217"/>
      <c r="K53" s="217" t="s">
        <v>391</v>
      </c>
      <c r="L53" s="217"/>
      <c r="M53" s="217" t="s">
        <v>407</v>
      </c>
      <c r="N53" s="217"/>
      <c r="O53" s="219"/>
      <c r="P53" s="217"/>
      <c r="Q53" s="217" t="s">
        <v>416</v>
      </c>
      <c r="R53" s="217"/>
      <c r="S53" s="220">
        <v>7113.16</v>
      </c>
      <c r="T53" s="217"/>
      <c r="U53" s="220">
        <f t="shared" si="0"/>
        <v>209666.17</v>
      </c>
    </row>
    <row r="54" spans="1:21" x14ac:dyDescent="0.25">
      <c r="A54" s="217"/>
      <c r="B54" s="217"/>
      <c r="C54" s="217"/>
      <c r="D54" s="217"/>
      <c r="E54" s="217" t="s">
        <v>396</v>
      </c>
      <c r="F54" s="217"/>
      <c r="G54" s="218">
        <v>42058</v>
      </c>
      <c r="H54" s="217"/>
      <c r="I54" s="217" t="s">
        <v>423</v>
      </c>
      <c r="J54" s="217"/>
      <c r="K54" s="217" t="s">
        <v>391</v>
      </c>
      <c r="L54" s="217"/>
      <c r="M54" s="217" t="s">
        <v>408</v>
      </c>
      <c r="N54" s="217"/>
      <c r="O54" s="219"/>
      <c r="P54" s="217"/>
      <c r="Q54" s="217" t="s">
        <v>416</v>
      </c>
      <c r="R54" s="217"/>
      <c r="S54" s="220">
        <v>3690</v>
      </c>
      <c r="T54" s="217"/>
      <c r="U54" s="220">
        <f t="shared" si="0"/>
        <v>213356.17</v>
      </c>
    </row>
    <row r="55" spans="1:21" x14ac:dyDescent="0.25">
      <c r="A55" s="217"/>
      <c r="B55" s="217"/>
      <c r="C55" s="217"/>
      <c r="D55" s="217"/>
      <c r="E55" s="217" t="s">
        <v>396</v>
      </c>
      <c r="F55" s="217"/>
      <c r="G55" s="218">
        <v>42083</v>
      </c>
      <c r="H55" s="217"/>
      <c r="I55" s="217" t="s">
        <v>424</v>
      </c>
      <c r="J55" s="217"/>
      <c r="K55" s="217" t="s">
        <v>391</v>
      </c>
      <c r="L55" s="217"/>
      <c r="M55" s="217" t="s">
        <v>406</v>
      </c>
      <c r="N55" s="217"/>
      <c r="O55" s="219"/>
      <c r="P55" s="217"/>
      <c r="Q55" s="217" t="s">
        <v>416</v>
      </c>
      <c r="R55" s="217"/>
      <c r="S55" s="220">
        <v>2539</v>
      </c>
      <c r="T55" s="217"/>
      <c r="U55" s="220">
        <f t="shared" si="0"/>
        <v>215895.17</v>
      </c>
    </row>
    <row r="56" spans="1:21" x14ac:dyDescent="0.25">
      <c r="A56" s="217"/>
      <c r="B56" s="217"/>
      <c r="C56" s="217"/>
      <c r="D56" s="217"/>
      <c r="E56" s="217" t="s">
        <v>396</v>
      </c>
      <c r="F56" s="217"/>
      <c r="G56" s="218">
        <v>42083</v>
      </c>
      <c r="H56" s="217"/>
      <c r="I56" s="217" t="s">
        <v>424</v>
      </c>
      <c r="J56" s="217"/>
      <c r="K56" s="217" t="s">
        <v>391</v>
      </c>
      <c r="L56" s="217"/>
      <c r="M56" s="217" t="s">
        <v>407</v>
      </c>
      <c r="N56" s="217"/>
      <c r="O56" s="219"/>
      <c r="P56" s="217"/>
      <c r="Q56" s="217" t="s">
        <v>416</v>
      </c>
      <c r="R56" s="217"/>
      <c r="S56" s="220">
        <v>5203.18</v>
      </c>
      <c r="T56" s="217"/>
      <c r="U56" s="220">
        <f t="shared" si="0"/>
        <v>221098.35</v>
      </c>
    </row>
    <row r="57" spans="1:21" x14ac:dyDescent="0.25">
      <c r="A57" s="217"/>
      <c r="B57" s="217"/>
      <c r="C57" s="217"/>
      <c r="D57" s="217"/>
      <c r="E57" s="217" t="s">
        <v>396</v>
      </c>
      <c r="F57" s="217"/>
      <c r="G57" s="218">
        <v>42083</v>
      </c>
      <c r="H57" s="217"/>
      <c r="I57" s="217" t="s">
        <v>424</v>
      </c>
      <c r="J57" s="217"/>
      <c r="K57" s="217" t="s">
        <v>391</v>
      </c>
      <c r="L57" s="217"/>
      <c r="M57" s="217" t="s">
        <v>408</v>
      </c>
      <c r="N57" s="217"/>
      <c r="O57" s="219"/>
      <c r="P57" s="217"/>
      <c r="Q57" s="217" t="s">
        <v>416</v>
      </c>
      <c r="R57" s="217"/>
      <c r="S57" s="220">
        <v>3096</v>
      </c>
      <c r="T57" s="217"/>
      <c r="U57" s="220">
        <f t="shared" si="0"/>
        <v>224194.35</v>
      </c>
    </row>
    <row r="58" spans="1:21" x14ac:dyDescent="0.25">
      <c r="A58" s="217"/>
      <c r="B58" s="217"/>
      <c r="C58" s="217"/>
      <c r="D58" s="217"/>
      <c r="E58" s="217" t="s">
        <v>396</v>
      </c>
      <c r="F58" s="217"/>
      <c r="G58" s="218">
        <v>42116</v>
      </c>
      <c r="H58" s="217"/>
      <c r="I58" s="217" t="s">
        <v>425</v>
      </c>
      <c r="J58" s="217"/>
      <c r="K58" s="217" t="s">
        <v>391</v>
      </c>
      <c r="L58" s="217"/>
      <c r="M58" s="217" t="s">
        <v>406</v>
      </c>
      <c r="N58" s="217"/>
      <c r="O58" s="219"/>
      <c r="P58" s="217"/>
      <c r="Q58" s="217" t="s">
        <v>416</v>
      </c>
      <c r="R58" s="217"/>
      <c r="S58" s="220">
        <v>8877</v>
      </c>
      <c r="T58" s="217"/>
      <c r="U58" s="220">
        <f t="shared" si="0"/>
        <v>233071.35</v>
      </c>
    </row>
    <row r="59" spans="1:21" x14ac:dyDescent="0.25">
      <c r="A59" s="217"/>
      <c r="B59" s="217"/>
      <c r="C59" s="217"/>
      <c r="D59" s="217"/>
      <c r="E59" s="217" t="s">
        <v>396</v>
      </c>
      <c r="F59" s="217"/>
      <c r="G59" s="218">
        <v>42116</v>
      </c>
      <c r="H59" s="217"/>
      <c r="I59" s="217" t="s">
        <v>425</v>
      </c>
      <c r="J59" s="217"/>
      <c r="K59" s="217" t="s">
        <v>391</v>
      </c>
      <c r="L59" s="217"/>
      <c r="M59" s="217" t="s">
        <v>407</v>
      </c>
      <c r="N59" s="217"/>
      <c r="O59" s="219"/>
      <c r="P59" s="217"/>
      <c r="Q59" s="217" t="s">
        <v>416</v>
      </c>
      <c r="R59" s="217"/>
      <c r="S59" s="220">
        <v>7774.01</v>
      </c>
      <c r="T59" s="217"/>
      <c r="U59" s="220">
        <f t="shared" si="0"/>
        <v>240845.36</v>
      </c>
    </row>
    <row r="60" spans="1:21" x14ac:dyDescent="0.25">
      <c r="A60" s="217"/>
      <c r="B60" s="217"/>
      <c r="C60" s="217"/>
      <c r="D60" s="217"/>
      <c r="E60" s="217" t="s">
        <v>396</v>
      </c>
      <c r="F60" s="217"/>
      <c r="G60" s="218">
        <v>42116</v>
      </c>
      <c r="H60" s="217"/>
      <c r="I60" s="217" t="s">
        <v>425</v>
      </c>
      <c r="J60" s="217"/>
      <c r="K60" s="217" t="s">
        <v>391</v>
      </c>
      <c r="L60" s="217"/>
      <c r="M60" s="217" t="s">
        <v>408</v>
      </c>
      <c r="N60" s="217"/>
      <c r="O60" s="219"/>
      <c r="P60" s="217"/>
      <c r="Q60" s="217" t="s">
        <v>416</v>
      </c>
      <c r="R60" s="217"/>
      <c r="S60" s="220">
        <v>3538</v>
      </c>
      <c r="T60" s="217"/>
      <c r="U60" s="220">
        <f t="shared" si="0"/>
        <v>244383.35999999999</v>
      </c>
    </row>
    <row r="61" spans="1:21" x14ac:dyDescent="0.25">
      <c r="A61" s="217"/>
      <c r="B61" s="217"/>
      <c r="C61" s="217"/>
      <c r="D61" s="217"/>
      <c r="E61" s="217" t="s">
        <v>396</v>
      </c>
      <c r="F61" s="217"/>
      <c r="G61" s="218">
        <v>42151</v>
      </c>
      <c r="H61" s="217"/>
      <c r="I61" s="217" t="s">
        <v>426</v>
      </c>
      <c r="J61" s="217"/>
      <c r="K61" s="217" t="s">
        <v>391</v>
      </c>
      <c r="L61" s="217"/>
      <c r="M61" s="217" t="s">
        <v>406</v>
      </c>
      <c r="N61" s="217"/>
      <c r="O61" s="219"/>
      <c r="P61" s="217"/>
      <c r="Q61" s="217" t="s">
        <v>416</v>
      </c>
      <c r="R61" s="217"/>
      <c r="S61" s="220">
        <v>7374</v>
      </c>
      <c r="T61" s="217"/>
      <c r="U61" s="220">
        <f t="shared" si="0"/>
        <v>251757.36</v>
      </c>
    </row>
    <row r="62" spans="1:21" x14ac:dyDescent="0.25">
      <c r="A62" s="217"/>
      <c r="B62" s="217"/>
      <c r="C62" s="217"/>
      <c r="D62" s="217"/>
      <c r="E62" s="217" t="s">
        <v>396</v>
      </c>
      <c r="F62" s="217"/>
      <c r="G62" s="218">
        <v>42151</v>
      </c>
      <c r="H62" s="217"/>
      <c r="I62" s="217" t="s">
        <v>426</v>
      </c>
      <c r="J62" s="217"/>
      <c r="K62" s="217" t="s">
        <v>391</v>
      </c>
      <c r="L62" s="217"/>
      <c r="M62" s="217" t="s">
        <v>407</v>
      </c>
      <c r="N62" s="217"/>
      <c r="O62" s="219"/>
      <c r="P62" s="217"/>
      <c r="Q62" s="217" t="s">
        <v>416</v>
      </c>
      <c r="R62" s="217"/>
      <c r="S62" s="220">
        <v>8319.01</v>
      </c>
      <c r="T62" s="217"/>
      <c r="U62" s="220">
        <f t="shared" si="0"/>
        <v>260076.37</v>
      </c>
    </row>
    <row r="63" spans="1:21" x14ac:dyDescent="0.25">
      <c r="A63" s="217"/>
      <c r="B63" s="217"/>
      <c r="C63" s="217"/>
      <c r="D63" s="217"/>
      <c r="E63" s="217" t="s">
        <v>396</v>
      </c>
      <c r="F63" s="217"/>
      <c r="G63" s="218">
        <v>42151</v>
      </c>
      <c r="H63" s="217"/>
      <c r="I63" s="217" t="s">
        <v>426</v>
      </c>
      <c r="J63" s="217"/>
      <c r="K63" s="217" t="s">
        <v>391</v>
      </c>
      <c r="L63" s="217"/>
      <c r="M63" s="217" t="s">
        <v>408</v>
      </c>
      <c r="N63" s="217"/>
      <c r="O63" s="219"/>
      <c r="P63" s="217"/>
      <c r="Q63" s="217" t="s">
        <v>416</v>
      </c>
      <c r="R63" s="217"/>
      <c r="S63" s="220">
        <v>3281</v>
      </c>
      <c r="T63" s="217"/>
      <c r="U63" s="220">
        <f t="shared" si="0"/>
        <v>263357.37</v>
      </c>
    </row>
    <row r="64" spans="1:21" x14ac:dyDescent="0.25">
      <c r="A64" s="217"/>
      <c r="B64" s="217"/>
      <c r="C64" s="217"/>
      <c r="D64" s="217"/>
      <c r="E64" s="217" t="s">
        <v>389</v>
      </c>
      <c r="F64" s="217"/>
      <c r="G64" s="218">
        <v>42180</v>
      </c>
      <c r="H64" s="217"/>
      <c r="I64" s="217" t="s">
        <v>427</v>
      </c>
      <c r="J64" s="217"/>
      <c r="K64" s="217" t="s">
        <v>391</v>
      </c>
      <c r="L64" s="217"/>
      <c r="M64" s="217" t="s">
        <v>406</v>
      </c>
      <c r="N64" s="217"/>
      <c r="O64" s="219"/>
      <c r="P64" s="217"/>
      <c r="Q64" s="217" t="s">
        <v>393</v>
      </c>
      <c r="R64" s="217"/>
      <c r="S64" s="220">
        <v>7620</v>
      </c>
      <c r="T64" s="217"/>
      <c r="U64" s="220">
        <f t="shared" si="0"/>
        <v>270977.37</v>
      </c>
    </row>
    <row r="65" spans="1:21" x14ac:dyDescent="0.25">
      <c r="A65" s="217"/>
      <c r="B65" s="217"/>
      <c r="C65" s="217"/>
      <c r="D65" s="217"/>
      <c r="E65" s="217" t="s">
        <v>389</v>
      </c>
      <c r="F65" s="217"/>
      <c r="G65" s="218">
        <v>42180</v>
      </c>
      <c r="H65" s="217"/>
      <c r="I65" s="217" t="s">
        <v>427</v>
      </c>
      <c r="J65" s="217"/>
      <c r="K65" s="217" t="s">
        <v>391</v>
      </c>
      <c r="L65" s="217"/>
      <c r="M65" s="217" t="s">
        <v>407</v>
      </c>
      <c r="N65" s="217"/>
      <c r="O65" s="219"/>
      <c r="P65" s="217"/>
      <c r="Q65" s="217" t="s">
        <v>393</v>
      </c>
      <c r="R65" s="217"/>
      <c r="S65" s="220">
        <v>8497.91</v>
      </c>
      <c r="T65" s="217"/>
      <c r="U65" s="220">
        <f t="shared" si="0"/>
        <v>279475.28000000003</v>
      </c>
    </row>
    <row r="66" spans="1:21" x14ac:dyDescent="0.25">
      <c r="A66" s="217"/>
      <c r="B66" s="217"/>
      <c r="C66" s="217"/>
      <c r="D66" s="217"/>
      <c r="E66" s="217" t="s">
        <v>389</v>
      </c>
      <c r="F66" s="217"/>
      <c r="G66" s="218">
        <v>42180</v>
      </c>
      <c r="H66" s="217"/>
      <c r="I66" s="217" t="s">
        <v>427</v>
      </c>
      <c r="J66" s="217"/>
      <c r="K66" s="217" t="s">
        <v>391</v>
      </c>
      <c r="L66" s="217"/>
      <c r="M66" s="217" t="s">
        <v>408</v>
      </c>
      <c r="N66" s="217"/>
      <c r="O66" s="219"/>
      <c r="P66" s="217"/>
      <c r="Q66" s="217" t="s">
        <v>393</v>
      </c>
      <c r="R66" s="217"/>
      <c r="S66" s="220">
        <v>2907</v>
      </c>
      <c r="T66" s="217"/>
      <c r="U66" s="220">
        <f t="shared" si="0"/>
        <v>282382.28000000003</v>
      </c>
    </row>
    <row r="67" spans="1:21" x14ac:dyDescent="0.25">
      <c r="A67" s="217"/>
      <c r="B67" s="217"/>
      <c r="C67" s="217"/>
      <c r="D67" s="217"/>
      <c r="E67" s="217" t="s">
        <v>396</v>
      </c>
      <c r="F67" s="217"/>
      <c r="G67" s="218">
        <v>42207</v>
      </c>
      <c r="H67" s="217"/>
      <c r="I67" s="217" t="s">
        <v>428</v>
      </c>
      <c r="J67" s="217"/>
      <c r="K67" s="217" t="s">
        <v>391</v>
      </c>
      <c r="L67" s="217"/>
      <c r="M67" s="217" t="s">
        <v>406</v>
      </c>
      <c r="N67" s="217"/>
      <c r="O67" s="219"/>
      <c r="P67" s="217"/>
      <c r="Q67" s="217" t="s">
        <v>416</v>
      </c>
      <c r="R67" s="217"/>
      <c r="S67" s="220">
        <v>126</v>
      </c>
      <c r="T67" s="217"/>
      <c r="U67" s="220">
        <f t="shared" ref="U67:U130" si="1">ROUND(U66+S67,5)</f>
        <v>282508.28000000003</v>
      </c>
    </row>
    <row r="68" spans="1:21" x14ac:dyDescent="0.25">
      <c r="A68" s="217"/>
      <c r="B68" s="217"/>
      <c r="C68" s="217"/>
      <c r="D68" s="217"/>
      <c r="E68" s="217" t="s">
        <v>396</v>
      </c>
      <c r="F68" s="217"/>
      <c r="G68" s="218">
        <v>42207</v>
      </c>
      <c r="H68" s="217"/>
      <c r="I68" s="217" t="s">
        <v>428</v>
      </c>
      <c r="J68" s="217"/>
      <c r="K68" s="217" t="s">
        <v>391</v>
      </c>
      <c r="L68" s="217"/>
      <c r="M68" s="217" t="s">
        <v>407</v>
      </c>
      <c r="N68" s="217"/>
      <c r="O68" s="219"/>
      <c r="P68" s="217"/>
      <c r="Q68" s="217" t="s">
        <v>416</v>
      </c>
      <c r="R68" s="217"/>
      <c r="S68" s="220">
        <v>74.12</v>
      </c>
      <c r="T68" s="217"/>
      <c r="U68" s="220">
        <f t="shared" si="1"/>
        <v>282582.40000000002</v>
      </c>
    </row>
    <row r="69" spans="1:21" x14ac:dyDescent="0.25">
      <c r="A69" s="217"/>
      <c r="B69" s="217"/>
      <c r="C69" s="217"/>
      <c r="D69" s="217"/>
      <c r="E69" s="217" t="s">
        <v>396</v>
      </c>
      <c r="F69" s="217"/>
      <c r="G69" s="218">
        <v>42207</v>
      </c>
      <c r="H69" s="217"/>
      <c r="I69" s="217" t="s">
        <v>428</v>
      </c>
      <c r="J69" s="217"/>
      <c r="K69" s="217" t="s">
        <v>391</v>
      </c>
      <c r="L69" s="217"/>
      <c r="M69" s="217" t="s">
        <v>408</v>
      </c>
      <c r="N69" s="217"/>
      <c r="O69" s="219"/>
      <c r="P69" s="217"/>
      <c r="Q69" s="217" t="s">
        <v>416</v>
      </c>
      <c r="R69" s="217"/>
      <c r="S69" s="220">
        <v>76</v>
      </c>
      <c r="T69" s="217"/>
      <c r="U69" s="220">
        <f t="shared" si="1"/>
        <v>282658.40000000002</v>
      </c>
    </row>
    <row r="70" spans="1:21" x14ac:dyDescent="0.25">
      <c r="A70" s="217"/>
      <c r="B70" s="217"/>
      <c r="C70" s="217"/>
      <c r="D70" s="217"/>
      <c r="E70" s="217" t="s">
        <v>396</v>
      </c>
      <c r="F70" s="217"/>
      <c r="G70" s="218">
        <v>42241</v>
      </c>
      <c r="H70" s="217"/>
      <c r="I70" s="217" t="s">
        <v>429</v>
      </c>
      <c r="J70" s="217"/>
      <c r="K70" s="217" t="s">
        <v>391</v>
      </c>
      <c r="L70" s="217"/>
      <c r="M70" s="217"/>
      <c r="N70" s="217"/>
      <c r="O70" s="219"/>
      <c r="P70" s="217"/>
      <c r="Q70" s="217" t="s">
        <v>416</v>
      </c>
      <c r="R70" s="217"/>
      <c r="S70" s="220">
        <v>1017</v>
      </c>
      <c r="T70" s="217"/>
      <c r="U70" s="220">
        <f t="shared" si="1"/>
        <v>283675.40000000002</v>
      </c>
    </row>
    <row r="71" spans="1:21" x14ac:dyDescent="0.25">
      <c r="A71" s="217"/>
      <c r="B71" s="217"/>
      <c r="C71" s="217"/>
      <c r="D71" s="217"/>
      <c r="E71" s="217" t="s">
        <v>396</v>
      </c>
      <c r="F71" s="217"/>
      <c r="G71" s="218">
        <v>42241</v>
      </c>
      <c r="H71" s="217"/>
      <c r="I71" s="217" t="s">
        <v>429</v>
      </c>
      <c r="J71" s="217"/>
      <c r="K71" s="217" t="s">
        <v>391</v>
      </c>
      <c r="L71" s="217"/>
      <c r="M71" s="217"/>
      <c r="N71" s="217"/>
      <c r="O71" s="219"/>
      <c r="P71" s="217"/>
      <c r="Q71" s="217" t="s">
        <v>416</v>
      </c>
      <c r="R71" s="217"/>
      <c r="S71" s="220">
        <v>735.78</v>
      </c>
      <c r="T71" s="217"/>
      <c r="U71" s="220">
        <f t="shared" si="1"/>
        <v>284411.18</v>
      </c>
    </row>
    <row r="72" spans="1:21" x14ac:dyDescent="0.25">
      <c r="A72" s="217"/>
      <c r="B72" s="217"/>
      <c r="C72" s="217"/>
      <c r="D72" s="217"/>
      <c r="E72" s="217" t="s">
        <v>396</v>
      </c>
      <c r="F72" s="217"/>
      <c r="G72" s="218">
        <v>42241</v>
      </c>
      <c r="H72" s="217"/>
      <c r="I72" s="217" t="s">
        <v>429</v>
      </c>
      <c r="J72" s="217"/>
      <c r="K72" s="217" t="s">
        <v>391</v>
      </c>
      <c r="L72" s="217"/>
      <c r="M72" s="217"/>
      <c r="N72" s="217"/>
      <c r="O72" s="219"/>
      <c r="P72" s="217"/>
      <c r="Q72" s="217" t="s">
        <v>416</v>
      </c>
      <c r="R72" s="217"/>
      <c r="S72" s="220">
        <v>545</v>
      </c>
      <c r="T72" s="217"/>
      <c r="U72" s="220">
        <f t="shared" si="1"/>
        <v>284956.18</v>
      </c>
    </row>
    <row r="73" spans="1:21" x14ac:dyDescent="0.25">
      <c r="A73" s="217"/>
      <c r="B73" s="217"/>
      <c r="C73" s="217"/>
      <c r="D73" s="217"/>
      <c r="E73" s="217" t="s">
        <v>396</v>
      </c>
      <c r="F73" s="217"/>
      <c r="G73" s="218">
        <v>42277</v>
      </c>
      <c r="H73" s="217"/>
      <c r="I73" s="217" t="s">
        <v>430</v>
      </c>
      <c r="J73" s="217"/>
      <c r="K73" s="217" t="s">
        <v>391</v>
      </c>
      <c r="L73" s="217"/>
      <c r="M73" s="217" t="s">
        <v>406</v>
      </c>
      <c r="N73" s="217"/>
      <c r="O73" s="219"/>
      <c r="P73" s="217"/>
      <c r="Q73" s="217" t="s">
        <v>416</v>
      </c>
      <c r="R73" s="217"/>
      <c r="S73" s="220">
        <v>216</v>
      </c>
      <c r="T73" s="217"/>
      <c r="U73" s="220">
        <f t="shared" si="1"/>
        <v>285172.18</v>
      </c>
    </row>
    <row r="74" spans="1:21" x14ac:dyDescent="0.25">
      <c r="A74" s="217"/>
      <c r="B74" s="217"/>
      <c r="C74" s="217"/>
      <c r="D74" s="217"/>
      <c r="E74" s="217" t="s">
        <v>396</v>
      </c>
      <c r="F74" s="217"/>
      <c r="G74" s="218">
        <v>42277</v>
      </c>
      <c r="H74" s="217"/>
      <c r="I74" s="217" t="s">
        <v>430</v>
      </c>
      <c r="J74" s="217"/>
      <c r="K74" s="217" t="s">
        <v>391</v>
      </c>
      <c r="L74" s="217"/>
      <c r="M74" s="217" t="s">
        <v>407</v>
      </c>
      <c r="N74" s="217"/>
      <c r="O74" s="219"/>
      <c r="P74" s="217"/>
      <c r="Q74" s="217" t="s">
        <v>416</v>
      </c>
      <c r="R74" s="217"/>
      <c r="S74" s="220">
        <v>51.28</v>
      </c>
      <c r="T74" s="217"/>
      <c r="U74" s="220">
        <f t="shared" si="1"/>
        <v>285223.46000000002</v>
      </c>
    </row>
    <row r="75" spans="1:21" x14ac:dyDescent="0.25">
      <c r="A75" s="217"/>
      <c r="B75" s="217"/>
      <c r="C75" s="217"/>
      <c r="D75" s="217"/>
      <c r="E75" s="217" t="s">
        <v>396</v>
      </c>
      <c r="F75" s="217"/>
      <c r="G75" s="218">
        <v>42277</v>
      </c>
      <c r="H75" s="217"/>
      <c r="I75" s="217" t="s">
        <v>430</v>
      </c>
      <c r="J75" s="217"/>
      <c r="K75" s="217" t="s">
        <v>391</v>
      </c>
      <c r="L75" s="217"/>
      <c r="M75" s="217" t="s">
        <v>408</v>
      </c>
      <c r="N75" s="217"/>
      <c r="O75" s="219"/>
      <c r="P75" s="217"/>
      <c r="Q75" s="217" t="s">
        <v>416</v>
      </c>
      <c r="R75" s="217"/>
      <c r="S75" s="220">
        <v>74</v>
      </c>
      <c r="T75" s="217"/>
      <c r="U75" s="220">
        <f t="shared" si="1"/>
        <v>285297.46000000002</v>
      </c>
    </row>
    <row r="76" spans="1:21" x14ac:dyDescent="0.25">
      <c r="A76" s="217"/>
      <c r="B76" s="217"/>
      <c r="C76" s="217"/>
      <c r="D76" s="217"/>
      <c r="E76" s="217" t="s">
        <v>385</v>
      </c>
      <c r="F76" s="217"/>
      <c r="G76" s="218">
        <v>42277</v>
      </c>
      <c r="H76" s="217"/>
      <c r="I76" s="217" t="s">
        <v>431</v>
      </c>
      <c r="J76" s="217"/>
      <c r="K76" s="217"/>
      <c r="L76" s="217"/>
      <c r="M76" s="217" t="s">
        <v>432</v>
      </c>
      <c r="N76" s="217"/>
      <c r="O76" s="219"/>
      <c r="P76" s="217"/>
      <c r="Q76" s="217" t="s">
        <v>416</v>
      </c>
      <c r="R76" s="217"/>
      <c r="S76" s="220">
        <v>92.25</v>
      </c>
      <c r="T76" s="217"/>
      <c r="U76" s="220">
        <f t="shared" si="1"/>
        <v>285389.71000000002</v>
      </c>
    </row>
    <row r="77" spans="1:21" x14ac:dyDescent="0.25">
      <c r="A77" s="217"/>
      <c r="B77" s="217"/>
      <c r="C77" s="217"/>
      <c r="D77" s="217"/>
      <c r="E77" s="217" t="s">
        <v>396</v>
      </c>
      <c r="F77" s="217"/>
      <c r="G77" s="218">
        <v>42308</v>
      </c>
      <c r="H77" s="217"/>
      <c r="I77" s="217" t="s">
        <v>433</v>
      </c>
      <c r="J77" s="217"/>
      <c r="K77" s="217" t="s">
        <v>391</v>
      </c>
      <c r="L77" s="217"/>
      <c r="M77" s="217"/>
      <c r="N77" s="217"/>
      <c r="O77" s="219"/>
      <c r="P77" s="217"/>
      <c r="Q77" s="217" t="s">
        <v>416</v>
      </c>
      <c r="R77" s="217"/>
      <c r="S77" s="220">
        <v>231.76</v>
      </c>
      <c r="T77" s="217"/>
      <c r="U77" s="220">
        <f t="shared" si="1"/>
        <v>285621.46999999997</v>
      </c>
    </row>
    <row r="78" spans="1:21" x14ac:dyDescent="0.25">
      <c r="A78" s="217"/>
      <c r="B78" s="217"/>
      <c r="C78" s="217"/>
      <c r="D78" s="217"/>
      <c r="E78" s="217" t="s">
        <v>396</v>
      </c>
      <c r="F78" s="217"/>
      <c r="G78" s="218">
        <v>42308</v>
      </c>
      <c r="H78" s="217"/>
      <c r="I78" s="217" t="s">
        <v>433</v>
      </c>
      <c r="J78" s="217"/>
      <c r="K78" s="217" t="s">
        <v>391</v>
      </c>
      <c r="L78" s="217"/>
      <c r="M78" s="217"/>
      <c r="N78" s="217"/>
      <c r="O78" s="219"/>
      <c r="P78" s="217"/>
      <c r="Q78" s="217" t="s">
        <v>416</v>
      </c>
      <c r="R78" s="217"/>
      <c r="S78" s="220">
        <v>186.17</v>
      </c>
      <c r="T78" s="217"/>
      <c r="U78" s="220">
        <f t="shared" si="1"/>
        <v>285807.64</v>
      </c>
    </row>
    <row r="79" spans="1:21" x14ac:dyDescent="0.25">
      <c r="A79" s="217"/>
      <c r="B79" s="217"/>
      <c r="C79" s="217"/>
      <c r="D79" s="217"/>
      <c r="E79" s="217" t="s">
        <v>396</v>
      </c>
      <c r="F79" s="217"/>
      <c r="G79" s="218">
        <v>42308</v>
      </c>
      <c r="H79" s="217"/>
      <c r="I79" s="217" t="s">
        <v>433</v>
      </c>
      <c r="J79" s="217"/>
      <c r="K79" s="217" t="s">
        <v>391</v>
      </c>
      <c r="L79" s="217"/>
      <c r="M79" s="217"/>
      <c r="N79" s="217"/>
      <c r="O79" s="219"/>
      <c r="P79" s="217"/>
      <c r="Q79" s="217" t="s">
        <v>416</v>
      </c>
      <c r="R79" s="217"/>
      <c r="S79" s="220">
        <v>181.43</v>
      </c>
      <c r="T79" s="217"/>
      <c r="U79" s="220">
        <f t="shared" si="1"/>
        <v>285989.07</v>
      </c>
    </row>
    <row r="80" spans="1:21" x14ac:dyDescent="0.25">
      <c r="A80" s="217"/>
      <c r="B80" s="217"/>
      <c r="C80" s="217"/>
      <c r="D80" s="217"/>
      <c r="E80" s="217" t="s">
        <v>396</v>
      </c>
      <c r="F80" s="217"/>
      <c r="G80" s="218">
        <v>42338</v>
      </c>
      <c r="H80" s="217"/>
      <c r="I80" s="217" t="s">
        <v>434</v>
      </c>
      <c r="J80" s="217"/>
      <c r="K80" s="217" t="s">
        <v>391</v>
      </c>
      <c r="L80" s="217"/>
      <c r="M80" s="217" t="s">
        <v>406</v>
      </c>
      <c r="N80" s="217"/>
      <c r="O80" s="219"/>
      <c r="P80" s="217"/>
      <c r="Q80" s="217" t="s">
        <v>416</v>
      </c>
      <c r="R80" s="217"/>
      <c r="S80" s="220">
        <v>6590.55</v>
      </c>
      <c r="T80" s="217"/>
      <c r="U80" s="220">
        <f t="shared" si="1"/>
        <v>292579.62</v>
      </c>
    </row>
    <row r="81" spans="1:21" x14ac:dyDescent="0.25">
      <c r="A81" s="217"/>
      <c r="B81" s="217"/>
      <c r="C81" s="217"/>
      <c r="D81" s="217"/>
      <c r="E81" s="217" t="s">
        <v>396</v>
      </c>
      <c r="F81" s="217"/>
      <c r="G81" s="218">
        <v>42338</v>
      </c>
      <c r="H81" s="217"/>
      <c r="I81" s="217" t="s">
        <v>434</v>
      </c>
      <c r="J81" s="217"/>
      <c r="K81" s="217" t="s">
        <v>391</v>
      </c>
      <c r="L81" s="217"/>
      <c r="M81" s="217" t="s">
        <v>407</v>
      </c>
      <c r="N81" s="217"/>
      <c r="O81" s="219"/>
      <c r="P81" s="217"/>
      <c r="Q81" s="217" t="s">
        <v>416</v>
      </c>
      <c r="R81" s="217"/>
      <c r="S81" s="220">
        <v>6351.48</v>
      </c>
      <c r="T81" s="217"/>
      <c r="U81" s="220">
        <f t="shared" si="1"/>
        <v>298931.09999999998</v>
      </c>
    </row>
    <row r="82" spans="1:21" x14ac:dyDescent="0.25">
      <c r="A82" s="217"/>
      <c r="B82" s="217"/>
      <c r="C82" s="217"/>
      <c r="D82" s="217"/>
      <c r="E82" s="217" t="s">
        <v>396</v>
      </c>
      <c r="F82" s="217"/>
      <c r="G82" s="218">
        <v>42338</v>
      </c>
      <c r="H82" s="217"/>
      <c r="I82" s="217" t="s">
        <v>434</v>
      </c>
      <c r="J82" s="217"/>
      <c r="K82" s="217" t="s">
        <v>391</v>
      </c>
      <c r="L82" s="217"/>
      <c r="M82" s="217" t="s">
        <v>408</v>
      </c>
      <c r="N82" s="217"/>
      <c r="O82" s="219"/>
      <c r="P82" s="217"/>
      <c r="Q82" s="217" t="s">
        <v>416</v>
      </c>
      <c r="R82" s="217"/>
      <c r="S82" s="220">
        <v>1944.96</v>
      </c>
      <c r="T82" s="217"/>
      <c r="U82" s="220">
        <f t="shared" si="1"/>
        <v>300876.06</v>
      </c>
    </row>
    <row r="83" spans="1:21" x14ac:dyDescent="0.25">
      <c r="A83" s="217"/>
      <c r="B83" s="217"/>
      <c r="C83" s="217"/>
      <c r="D83" s="217"/>
      <c r="E83" s="217" t="s">
        <v>396</v>
      </c>
      <c r="F83" s="217"/>
      <c r="G83" s="218">
        <v>42367</v>
      </c>
      <c r="H83" s="217"/>
      <c r="I83" s="217" t="s">
        <v>435</v>
      </c>
      <c r="J83" s="217"/>
      <c r="K83" s="217" t="s">
        <v>391</v>
      </c>
      <c r="L83" s="217"/>
      <c r="M83" s="217" t="s">
        <v>406</v>
      </c>
      <c r="N83" s="217"/>
      <c r="O83" s="219"/>
      <c r="P83" s="217"/>
      <c r="Q83" s="217" t="s">
        <v>416</v>
      </c>
      <c r="R83" s="217"/>
      <c r="S83" s="220">
        <v>3306.05</v>
      </c>
      <c r="T83" s="217"/>
      <c r="U83" s="220">
        <f t="shared" si="1"/>
        <v>304182.11</v>
      </c>
    </row>
    <row r="84" spans="1:21" x14ac:dyDescent="0.25">
      <c r="A84" s="217"/>
      <c r="B84" s="217"/>
      <c r="C84" s="217"/>
      <c r="D84" s="217"/>
      <c r="E84" s="217" t="s">
        <v>396</v>
      </c>
      <c r="F84" s="217"/>
      <c r="G84" s="218">
        <v>42367</v>
      </c>
      <c r="H84" s="217"/>
      <c r="I84" s="217" t="s">
        <v>435</v>
      </c>
      <c r="J84" s="217"/>
      <c r="K84" s="217" t="s">
        <v>391</v>
      </c>
      <c r="L84" s="217"/>
      <c r="M84" s="217" t="s">
        <v>407</v>
      </c>
      <c r="N84" s="217"/>
      <c r="O84" s="219"/>
      <c r="P84" s="217"/>
      <c r="Q84" s="217" t="s">
        <v>416</v>
      </c>
      <c r="R84" s="217"/>
      <c r="S84" s="220">
        <v>633.47</v>
      </c>
      <c r="T84" s="217"/>
      <c r="U84" s="220">
        <f t="shared" si="1"/>
        <v>304815.58</v>
      </c>
    </row>
    <row r="85" spans="1:21" x14ac:dyDescent="0.25">
      <c r="A85" s="217"/>
      <c r="B85" s="217"/>
      <c r="C85" s="217"/>
      <c r="D85" s="217"/>
      <c r="E85" s="217" t="s">
        <v>396</v>
      </c>
      <c r="F85" s="217"/>
      <c r="G85" s="218">
        <v>42367</v>
      </c>
      <c r="H85" s="217"/>
      <c r="I85" s="217" t="s">
        <v>435</v>
      </c>
      <c r="J85" s="217"/>
      <c r="K85" s="217" t="s">
        <v>391</v>
      </c>
      <c r="L85" s="217"/>
      <c r="M85" s="217" t="s">
        <v>408</v>
      </c>
      <c r="N85" s="217"/>
      <c r="O85" s="219"/>
      <c r="P85" s="217"/>
      <c r="Q85" s="217" t="s">
        <v>416</v>
      </c>
      <c r="R85" s="217"/>
      <c r="S85" s="220">
        <v>6277.64</v>
      </c>
      <c r="T85" s="217"/>
      <c r="U85" s="220">
        <f t="shared" si="1"/>
        <v>311093.21999999997</v>
      </c>
    </row>
    <row r="86" spans="1:21" x14ac:dyDescent="0.25">
      <c r="A86" s="217"/>
      <c r="B86" s="217"/>
      <c r="C86" s="217"/>
      <c r="D86" s="217"/>
      <c r="E86" s="217" t="s">
        <v>396</v>
      </c>
      <c r="F86" s="217"/>
      <c r="G86" s="218">
        <v>42388</v>
      </c>
      <c r="H86" s="217"/>
      <c r="I86" s="217" t="s">
        <v>436</v>
      </c>
      <c r="J86" s="217"/>
      <c r="K86" s="217" t="s">
        <v>391</v>
      </c>
      <c r="L86" s="217"/>
      <c r="M86" s="217"/>
      <c r="N86" s="217"/>
      <c r="O86" s="219"/>
      <c r="P86" s="217"/>
      <c r="Q86" s="217" t="s">
        <v>416</v>
      </c>
      <c r="R86" s="217"/>
      <c r="S86" s="220">
        <v>4334</v>
      </c>
      <c r="T86" s="217"/>
      <c r="U86" s="220">
        <f t="shared" si="1"/>
        <v>315427.21999999997</v>
      </c>
    </row>
    <row r="87" spans="1:21" x14ac:dyDescent="0.25">
      <c r="A87" s="217"/>
      <c r="B87" s="217"/>
      <c r="C87" s="217"/>
      <c r="D87" s="217"/>
      <c r="E87" s="217" t="s">
        <v>396</v>
      </c>
      <c r="F87" s="217"/>
      <c r="G87" s="218">
        <v>42388</v>
      </c>
      <c r="H87" s="217"/>
      <c r="I87" s="217" t="s">
        <v>437</v>
      </c>
      <c r="J87" s="217"/>
      <c r="K87" s="217" t="s">
        <v>391</v>
      </c>
      <c r="L87" s="217"/>
      <c r="M87" s="217"/>
      <c r="N87" s="217"/>
      <c r="O87" s="219"/>
      <c r="P87" s="217"/>
      <c r="Q87" s="217" t="s">
        <v>416</v>
      </c>
      <c r="R87" s="217"/>
      <c r="S87" s="220">
        <v>5584.89</v>
      </c>
      <c r="T87" s="217"/>
      <c r="U87" s="220">
        <f t="shared" si="1"/>
        <v>321012.11</v>
      </c>
    </row>
    <row r="88" spans="1:21" x14ac:dyDescent="0.25">
      <c r="A88" s="217"/>
      <c r="B88" s="217"/>
      <c r="C88" s="217"/>
      <c r="D88" s="217"/>
      <c r="E88" s="217" t="s">
        <v>396</v>
      </c>
      <c r="F88" s="217"/>
      <c r="G88" s="218">
        <v>42388</v>
      </c>
      <c r="H88" s="217"/>
      <c r="I88" s="217" t="s">
        <v>438</v>
      </c>
      <c r="J88" s="217"/>
      <c r="K88" s="217" t="s">
        <v>391</v>
      </c>
      <c r="L88" s="217"/>
      <c r="M88" s="217"/>
      <c r="N88" s="217"/>
      <c r="O88" s="219"/>
      <c r="P88" s="217"/>
      <c r="Q88" s="217" t="s">
        <v>416</v>
      </c>
      <c r="R88" s="217"/>
      <c r="S88" s="220">
        <v>2320</v>
      </c>
      <c r="T88" s="217"/>
      <c r="U88" s="220">
        <f t="shared" si="1"/>
        <v>323332.11</v>
      </c>
    </row>
    <row r="89" spans="1:21" x14ac:dyDescent="0.25">
      <c r="A89" s="217"/>
      <c r="B89" s="217"/>
      <c r="C89" s="217"/>
      <c r="D89" s="217"/>
      <c r="E89" s="217" t="s">
        <v>396</v>
      </c>
      <c r="F89" s="217"/>
      <c r="G89" s="218">
        <v>42422</v>
      </c>
      <c r="H89" s="217"/>
      <c r="I89" s="217" t="s">
        <v>439</v>
      </c>
      <c r="J89" s="217"/>
      <c r="K89" s="217" t="s">
        <v>391</v>
      </c>
      <c r="L89" s="217"/>
      <c r="M89" s="217"/>
      <c r="N89" s="217"/>
      <c r="O89" s="219"/>
      <c r="P89" s="217"/>
      <c r="Q89" s="217" t="s">
        <v>416</v>
      </c>
      <c r="R89" s="217"/>
      <c r="S89" s="220">
        <v>164</v>
      </c>
      <c r="T89" s="217"/>
      <c r="U89" s="220">
        <f t="shared" si="1"/>
        <v>323496.11</v>
      </c>
    </row>
    <row r="90" spans="1:21" x14ac:dyDescent="0.25">
      <c r="A90" s="217"/>
      <c r="B90" s="217"/>
      <c r="C90" s="217"/>
      <c r="D90" s="217"/>
      <c r="E90" s="217" t="s">
        <v>396</v>
      </c>
      <c r="F90" s="217"/>
      <c r="G90" s="218">
        <v>42422</v>
      </c>
      <c r="H90" s="217"/>
      <c r="I90" s="217" t="s">
        <v>440</v>
      </c>
      <c r="J90" s="217"/>
      <c r="K90" s="217" t="s">
        <v>391</v>
      </c>
      <c r="L90" s="217"/>
      <c r="M90" s="217"/>
      <c r="N90" s="217"/>
      <c r="O90" s="219"/>
      <c r="P90" s="217"/>
      <c r="Q90" s="217" t="s">
        <v>416</v>
      </c>
      <c r="R90" s="217"/>
      <c r="S90" s="220">
        <v>102.56</v>
      </c>
      <c r="T90" s="217"/>
      <c r="U90" s="220">
        <f t="shared" si="1"/>
        <v>323598.67</v>
      </c>
    </row>
    <row r="91" spans="1:21" x14ac:dyDescent="0.25">
      <c r="A91" s="217"/>
      <c r="B91" s="217"/>
      <c r="C91" s="217"/>
      <c r="D91" s="217"/>
      <c r="E91" s="217" t="s">
        <v>396</v>
      </c>
      <c r="F91" s="217"/>
      <c r="G91" s="218">
        <v>42422</v>
      </c>
      <c r="H91" s="217"/>
      <c r="I91" s="217" t="s">
        <v>441</v>
      </c>
      <c r="J91" s="217"/>
      <c r="K91" s="217" t="s">
        <v>391</v>
      </c>
      <c r="L91" s="217"/>
      <c r="M91" s="217"/>
      <c r="N91" s="217"/>
      <c r="O91" s="219"/>
      <c r="P91" s="217"/>
      <c r="Q91" s="217" t="s">
        <v>416</v>
      </c>
      <c r="R91" s="217"/>
      <c r="S91" s="220">
        <v>126</v>
      </c>
      <c r="T91" s="217"/>
      <c r="U91" s="220">
        <f t="shared" si="1"/>
        <v>323724.67</v>
      </c>
    </row>
    <row r="92" spans="1:21" x14ac:dyDescent="0.25">
      <c r="A92" s="217"/>
      <c r="B92" s="217"/>
      <c r="C92" s="217"/>
      <c r="D92" s="217"/>
      <c r="E92" s="217" t="s">
        <v>396</v>
      </c>
      <c r="F92" s="217"/>
      <c r="G92" s="218">
        <v>42448</v>
      </c>
      <c r="H92" s="217"/>
      <c r="I92" s="217" t="s">
        <v>442</v>
      </c>
      <c r="J92" s="217"/>
      <c r="K92" s="217" t="s">
        <v>391</v>
      </c>
      <c r="L92" s="217"/>
      <c r="M92" s="217"/>
      <c r="N92" s="217"/>
      <c r="O92" s="219"/>
      <c r="P92" s="217"/>
      <c r="Q92" s="217" t="s">
        <v>416</v>
      </c>
      <c r="R92" s="217"/>
      <c r="S92" s="220">
        <v>683</v>
      </c>
      <c r="T92" s="217"/>
      <c r="U92" s="220">
        <f t="shared" si="1"/>
        <v>324407.67</v>
      </c>
    </row>
    <row r="93" spans="1:21" x14ac:dyDescent="0.25">
      <c r="A93" s="217"/>
      <c r="B93" s="217"/>
      <c r="C93" s="217"/>
      <c r="D93" s="217"/>
      <c r="E93" s="217" t="s">
        <v>396</v>
      </c>
      <c r="F93" s="217"/>
      <c r="G93" s="218">
        <v>42448</v>
      </c>
      <c r="H93" s="217"/>
      <c r="I93" s="217" t="s">
        <v>443</v>
      </c>
      <c r="J93" s="217"/>
      <c r="K93" s="217" t="s">
        <v>391</v>
      </c>
      <c r="L93" s="217"/>
      <c r="M93" s="217"/>
      <c r="N93" s="217"/>
      <c r="O93" s="219"/>
      <c r="P93" s="217"/>
      <c r="Q93" s="217" t="s">
        <v>416</v>
      </c>
      <c r="R93" s="217"/>
      <c r="S93" s="220">
        <v>780.17</v>
      </c>
      <c r="T93" s="217"/>
      <c r="U93" s="220">
        <f t="shared" si="1"/>
        <v>325187.84000000003</v>
      </c>
    </row>
    <row r="94" spans="1:21" x14ac:dyDescent="0.25">
      <c r="A94" s="217"/>
      <c r="B94" s="217"/>
      <c r="C94" s="217"/>
      <c r="D94" s="217"/>
      <c r="E94" s="217" t="s">
        <v>396</v>
      </c>
      <c r="F94" s="217"/>
      <c r="G94" s="218">
        <v>42448</v>
      </c>
      <c r="H94" s="217"/>
      <c r="I94" s="217" t="s">
        <v>444</v>
      </c>
      <c r="J94" s="217"/>
      <c r="K94" s="217" t="s">
        <v>391</v>
      </c>
      <c r="L94" s="217"/>
      <c r="M94" s="217"/>
      <c r="N94" s="217"/>
      <c r="O94" s="219"/>
      <c r="P94" s="217"/>
      <c r="Q94" s="217" t="s">
        <v>416</v>
      </c>
      <c r="R94" s="217"/>
      <c r="S94" s="220">
        <v>477</v>
      </c>
      <c r="T94" s="217"/>
      <c r="U94" s="220">
        <f t="shared" si="1"/>
        <v>325664.84000000003</v>
      </c>
    </row>
    <row r="95" spans="1:21" x14ac:dyDescent="0.25">
      <c r="A95" s="217"/>
      <c r="B95" s="217"/>
      <c r="C95" s="217"/>
      <c r="D95" s="217"/>
      <c r="E95" s="217" t="s">
        <v>396</v>
      </c>
      <c r="F95" s="217"/>
      <c r="G95" s="218">
        <v>42477</v>
      </c>
      <c r="H95" s="217"/>
      <c r="I95" s="217" t="s">
        <v>445</v>
      </c>
      <c r="J95" s="217"/>
      <c r="K95" s="217" t="s">
        <v>391</v>
      </c>
      <c r="L95" s="217"/>
      <c r="M95" s="217"/>
      <c r="N95" s="217"/>
      <c r="O95" s="219"/>
      <c r="P95" s="217"/>
      <c r="Q95" s="217" t="s">
        <v>398</v>
      </c>
      <c r="R95" s="217"/>
      <c r="S95" s="220">
        <v>4975</v>
      </c>
      <c r="T95" s="217"/>
      <c r="U95" s="220">
        <f t="shared" si="1"/>
        <v>330639.84000000003</v>
      </c>
    </row>
    <row r="96" spans="1:21" x14ac:dyDescent="0.25">
      <c r="A96" s="217"/>
      <c r="B96" s="217"/>
      <c r="C96" s="217"/>
      <c r="D96" s="217"/>
      <c r="E96" s="217" t="s">
        <v>396</v>
      </c>
      <c r="F96" s="217"/>
      <c r="G96" s="218">
        <v>42477</v>
      </c>
      <c r="H96" s="217"/>
      <c r="I96" s="217" t="s">
        <v>446</v>
      </c>
      <c r="J96" s="217"/>
      <c r="K96" s="217" t="s">
        <v>391</v>
      </c>
      <c r="L96" s="217"/>
      <c r="M96" s="217"/>
      <c r="N96" s="217"/>
      <c r="O96" s="219"/>
      <c r="P96" s="217"/>
      <c r="Q96" s="217" t="s">
        <v>398</v>
      </c>
      <c r="R96" s="217"/>
      <c r="S96" s="220">
        <v>6722.33</v>
      </c>
      <c r="T96" s="217"/>
      <c r="U96" s="220">
        <f t="shared" si="1"/>
        <v>337362.17</v>
      </c>
    </row>
    <row r="97" spans="1:21" x14ac:dyDescent="0.25">
      <c r="A97" s="217"/>
      <c r="B97" s="217"/>
      <c r="C97" s="217"/>
      <c r="D97" s="217"/>
      <c r="E97" s="217" t="s">
        <v>396</v>
      </c>
      <c r="F97" s="217"/>
      <c r="G97" s="218">
        <v>42477</v>
      </c>
      <c r="H97" s="217"/>
      <c r="I97" s="217" t="s">
        <v>447</v>
      </c>
      <c r="J97" s="217"/>
      <c r="K97" s="217" t="s">
        <v>391</v>
      </c>
      <c r="L97" s="217"/>
      <c r="M97" s="217"/>
      <c r="N97" s="217"/>
      <c r="O97" s="219"/>
      <c r="P97" s="217"/>
      <c r="Q97" s="217" t="s">
        <v>398</v>
      </c>
      <c r="R97" s="217"/>
      <c r="S97" s="220">
        <v>1761</v>
      </c>
      <c r="T97" s="217"/>
      <c r="U97" s="220">
        <f t="shared" si="1"/>
        <v>339123.17</v>
      </c>
    </row>
    <row r="98" spans="1:21" x14ac:dyDescent="0.25">
      <c r="A98" s="217"/>
      <c r="B98" s="217"/>
      <c r="C98" s="217"/>
      <c r="D98" s="217"/>
      <c r="E98" s="217" t="s">
        <v>396</v>
      </c>
      <c r="F98" s="217"/>
      <c r="G98" s="218">
        <v>42513</v>
      </c>
      <c r="H98" s="217"/>
      <c r="I98" s="217" t="s">
        <v>448</v>
      </c>
      <c r="J98" s="217"/>
      <c r="K98" s="217" t="s">
        <v>391</v>
      </c>
      <c r="L98" s="217"/>
      <c r="M98" s="217"/>
      <c r="N98" s="217"/>
      <c r="O98" s="219"/>
      <c r="P98" s="217"/>
      <c r="Q98" s="217" t="s">
        <v>398</v>
      </c>
      <c r="R98" s="217"/>
      <c r="S98" s="220">
        <v>7436</v>
      </c>
      <c r="T98" s="217"/>
      <c r="U98" s="220">
        <f t="shared" si="1"/>
        <v>346559.17</v>
      </c>
    </row>
    <row r="99" spans="1:21" x14ac:dyDescent="0.25">
      <c r="A99" s="217"/>
      <c r="B99" s="217"/>
      <c r="C99" s="217"/>
      <c r="D99" s="217"/>
      <c r="E99" s="217" t="s">
        <v>396</v>
      </c>
      <c r="F99" s="217"/>
      <c r="G99" s="218">
        <v>42513</v>
      </c>
      <c r="H99" s="217"/>
      <c r="I99" s="217" t="s">
        <v>449</v>
      </c>
      <c r="J99" s="217"/>
      <c r="K99" s="217" t="s">
        <v>391</v>
      </c>
      <c r="L99" s="217"/>
      <c r="M99" s="217"/>
      <c r="N99" s="217"/>
      <c r="O99" s="219"/>
      <c r="P99" s="217"/>
      <c r="Q99" s="217" t="s">
        <v>398</v>
      </c>
      <c r="R99" s="217"/>
      <c r="S99" s="220">
        <v>7988.93</v>
      </c>
      <c r="T99" s="217"/>
      <c r="U99" s="220">
        <f t="shared" si="1"/>
        <v>354548.1</v>
      </c>
    </row>
    <row r="100" spans="1:21" x14ac:dyDescent="0.25">
      <c r="A100" s="217"/>
      <c r="B100" s="217"/>
      <c r="C100" s="217"/>
      <c r="D100" s="217"/>
      <c r="E100" s="217" t="s">
        <v>396</v>
      </c>
      <c r="F100" s="217"/>
      <c r="G100" s="218">
        <v>42513</v>
      </c>
      <c r="H100" s="217"/>
      <c r="I100" s="217" t="s">
        <v>450</v>
      </c>
      <c r="J100" s="217"/>
      <c r="K100" s="217" t="s">
        <v>391</v>
      </c>
      <c r="L100" s="217"/>
      <c r="M100" s="217"/>
      <c r="N100" s="217"/>
      <c r="O100" s="219"/>
      <c r="P100" s="217"/>
      <c r="Q100" s="217" t="s">
        <v>398</v>
      </c>
      <c r="R100" s="217"/>
      <c r="S100" s="220">
        <v>3314</v>
      </c>
      <c r="T100" s="217"/>
      <c r="U100" s="220">
        <f t="shared" si="1"/>
        <v>357862.1</v>
      </c>
    </row>
    <row r="101" spans="1:21" x14ac:dyDescent="0.25">
      <c r="A101" s="217"/>
      <c r="B101" s="217"/>
      <c r="C101" s="217"/>
      <c r="D101" s="217"/>
      <c r="E101" s="217" t="s">
        <v>396</v>
      </c>
      <c r="F101" s="217"/>
      <c r="G101" s="218">
        <v>42548</v>
      </c>
      <c r="H101" s="217"/>
      <c r="I101" s="217" t="s">
        <v>451</v>
      </c>
      <c r="J101" s="217"/>
      <c r="K101" s="217" t="s">
        <v>391</v>
      </c>
      <c r="L101" s="217"/>
      <c r="M101" s="217"/>
      <c r="N101" s="217"/>
      <c r="O101" s="219"/>
      <c r="P101" s="217"/>
      <c r="Q101" s="217" t="s">
        <v>398</v>
      </c>
      <c r="R101" s="217"/>
      <c r="S101" s="220">
        <v>4888</v>
      </c>
      <c r="T101" s="217"/>
      <c r="U101" s="220">
        <f t="shared" si="1"/>
        <v>362750.1</v>
      </c>
    </row>
    <row r="102" spans="1:21" x14ac:dyDescent="0.25">
      <c r="A102" s="217"/>
      <c r="B102" s="217"/>
      <c r="C102" s="217"/>
      <c r="D102" s="217"/>
      <c r="E102" s="217" t="s">
        <v>396</v>
      </c>
      <c r="F102" s="217"/>
      <c r="G102" s="218">
        <v>42548</v>
      </c>
      <c r="H102" s="217"/>
      <c r="I102" s="217" t="s">
        <v>452</v>
      </c>
      <c r="J102" s="217"/>
      <c r="K102" s="217" t="s">
        <v>391</v>
      </c>
      <c r="L102" s="217"/>
      <c r="M102" s="217"/>
      <c r="N102" s="217"/>
      <c r="O102" s="219"/>
      <c r="P102" s="217"/>
      <c r="Q102" s="217" t="s">
        <v>398</v>
      </c>
      <c r="R102" s="217"/>
      <c r="S102" s="220">
        <v>5128.04</v>
      </c>
      <c r="T102" s="217"/>
      <c r="U102" s="220">
        <f t="shared" si="1"/>
        <v>367878.14</v>
      </c>
    </row>
    <row r="103" spans="1:21" x14ac:dyDescent="0.25">
      <c r="A103" s="217"/>
      <c r="B103" s="217"/>
      <c r="C103" s="217"/>
      <c r="D103" s="217"/>
      <c r="E103" s="217" t="s">
        <v>396</v>
      </c>
      <c r="F103" s="217"/>
      <c r="G103" s="218">
        <v>42548</v>
      </c>
      <c r="H103" s="217"/>
      <c r="I103" s="217" t="s">
        <v>453</v>
      </c>
      <c r="J103" s="217"/>
      <c r="K103" s="217" t="s">
        <v>391</v>
      </c>
      <c r="L103" s="217"/>
      <c r="M103" s="217"/>
      <c r="N103" s="217"/>
      <c r="O103" s="219"/>
      <c r="P103" s="217"/>
      <c r="Q103" s="217" t="s">
        <v>398</v>
      </c>
      <c r="R103" s="217"/>
      <c r="S103" s="220">
        <v>126</v>
      </c>
      <c r="T103" s="217"/>
      <c r="U103" s="220">
        <f t="shared" si="1"/>
        <v>368004.14</v>
      </c>
    </row>
    <row r="104" spans="1:21" x14ac:dyDescent="0.25">
      <c r="A104" s="217"/>
      <c r="B104" s="217"/>
      <c r="C104" s="217"/>
      <c r="D104" s="217"/>
      <c r="E104" s="217" t="s">
        <v>396</v>
      </c>
      <c r="F104" s="217"/>
      <c r="G104" s="218">
        <v>42571</v>
      </c>
      <c r="H104" s="217"/>
      <c r="I104" s="217" t="s">
        <v>454</v>
      </c>
      <c r="J104" s="217"/>
      <c r="K104" s="217" t="s">
        <v>391</v>
      </c>
      <c r="L104" s="217"/>
      <c r="M104" s="217"/>
      <c r="N104" s="217"/>
      <c r="O104" s="219"/>
      <c r="P104" s="217"/>
      <c r="Q104" s="217" t="s">
        <v>416</v>
      </c>
      <c r="R104" s="217"/>
      <c r="S104" s="220">
        <v>140</v>
      </c>
      <c r="T104" s="217"/>
      <c r="U104" s="220">
        <f t="shared" si="1"/>
        <v>368144.14</v>
      </c>
    </row>
    <row r="105" spans="1:21" x14ac:dyDescent="0.25">
      <c r="A105" s="217"/>
      <c r="B105" s="217"/>
      <c r="C105" s="217"/>
      <c r="D105" s="217"/>
      <c r="E105" s="217" t="s">
        <v>396</v>
      </c>
      <c r="F105" s="217"/>
      <c r="G105" s="218">
        <v>42571</v>
      </c>
      <c r="H105" s="217"/>
      <c r="I105" s="217" t="s">
        <v>455</v>
      </c>
      <c r="J105" s="217"/>
      <c r="K105" s="217" t="s">
        <v>391</v>
      </c>
      <c r="L105" s="217"/>
      <c r="M105" s="217"/>
      <c r="N105" s="217"/>
      <c r="O105" s="219"/>
      <c r="P105" s="217"/>
      <c r="Q105" s="217" t="s">
        <v>416</v>
      </c>
      <c r="R105" s="217"/>
      <c r="S105" s="220">
        <v>102.56</v>
      </c>
      <c r="T105" s="217"/>
      <c r="U105" s="220">
        <f t="shared" si="1"/>
        <v>368246.7</v>
      </c>
    </row>
    <row r="106" spans="1:21" x14ac:dyDescent="0.25">
      <c r="A106" s="217"/>
      <c r="B106" s="217"/>
      <c r="C106" s="217"/>
      <c r="D106" s="217"/>
      <c r="E106" s="217" t="s">
        <v>396</v>
      </c>
      <c r="F106" s="217"/>
      <c r="G106" s="218">
        <v>42571</v>
      </c>
      <c r="H106" s="217"/>
      <c r="I106" s="217" t="s">
        <v>456</v>
      </c>
      <c r="J106" s="217"/>
      <c r="K106" s="217" t="s">
        <v>391</v>
      </c>
      <c r="L106" s="217"/>
      <c r="M106" s="217"/>
      <c r="N106" s="217"/>
      <c r="O106" s="219"/>
      <c r="P106" s="217"/>
      <c r="Q106" s="217" t="s">
        <v>416</v>
      </c>
      <c r="R106" s="217"/>
      <c r="S106" s="220">
        <v>126</v>
      </c>
      <c r="T106" s="217"/>
      <c r="U106" s="220">
        <f t="shared" si="1"/>
        <v>368372.7</v>
      </c>
    </row>
    <row r="107" spans="1:21" x14ac:dyDescent="0.25">
      <c r="A107" s="217"/>
      <c r="B107" s="217"/>
      <c r="C107" s="217"/>
      <c r="D107" s="217"/>
      <c r="E107" s="217" t="s">
        <v>396</v>
      </c>
      <c r="F107" s="217"/>
      <c r="G107" s="218">
        <v>42607</v>
      </c>
      <c r="H107" s="217"/>
      <c r="I107" s="217" t="s">
        <v>457</v>
      </c>
      <c r="J107" s="217"/>
      <c r="K107" s="217" t="s">
        <v>391</v>
      </c>
      <c r="L107" s="217"/>
      <c r="M107" s="217"/>
      <c r="N107" s="217"/>
      <c r="O107" s="219"/>
      <c r="P107" s="217"/>
      <c r="Q107" s="217" t="s">
        <v>416</v>
      </c>
      <c r="R107" s="217"/>
      <c r="S107" s="220">
        <v>140</v>
      </c>
      <c r="T107" s="217"/>
      <c r="U107" s="220">
        <f t="shared" si="1"/>
        <v>368512.7</v>
      </c>
    </row>
    <row r="108" spans="1:21" x14ac:dyDescent="0.25">
      <c r="A108" s="217"/>
      <c r="B108" s="217"/>
      <c r="C108" s="217"/>
      <c r="D108" s="217"/>
      <c r="E108" s="217" t="s">
        <v>396</v>
      </c>
      <c r="F108" s="217"/>
      <c r="G108" s="218">
        <v>42607</v>
      </c>
      <c r="H108" s="217"/>
      <c r="I108" s="217" t="s">
        <v>458</v>
      </c>
      <c r="J108" s="217"/>
      <c r="K108" s="217" t="s">
        <v>391</v>
      </c>
      <c r="L108" s="217"/>
      <c r="M108" s="217"/>
      <c r="N108" s="217"/>
      <c r="O108" s="219"/>
      <c r="P108" s="217"/>
      <c r="Q108" s="217" t="s">
        <v>416</v>
      </c>
      <c r="R108" s="217"/>
      <c r="S108" s="220">
        <v>102.56</v>
      </c>
      <c r="T108" s="217"/>
      <c r="U108" s="220">
        <f t="shared" si="1"/>
        <v>368615.26</v>
      </c>
    </row>
    <row r="109" spans="1:21" x14ac:dyDescent="0.25">
      <c r="A109" s="217"/>
      <c r="B109" s="217"/>
      <c r="C109" s="217"/>
      <c r="D109" s="217"/>
      <c r="E109" s="217" t="s">
        <v>396</v>
      </c>
      <c r="F109" s="217"/>
      <c r="G109" s="218">
        <v>42607</v>
      </c>
      <c r="H109" s="217"/>
      <c r="I109" s="217" t="s">
        <v>459</v>
      </c>
      <c r="J109" s="217"/>
      <c r="K109" s="217" t="s">
        <v>391</v>
      </c>
      <c r="L109" s="217"/>
      <c r="M109" s="217"/>
      <c r="N109" s="217"/>
      <c r="O109" s="219"/>
      <c r="P109" s="217"/>
      <c r="Q109" s="217" t="s">
        <v>416</v>
      </c>
      <c r="R109" s="217"/>
      <c r="S109" s="220">
        <v>126</v>
      </c>
      <c r="T109" s="217"/>
      <c r="U109" s="220">
        <f t="shared" si="1"/>
        <v>368741.26</v>
      </c>
    </row>
    <row r="110" spans="1:21" x14ac:dyDescent="0.25">
      <c r="A110" s="217"/>
      <c r="B110" s="217"/>
      <c r="C110" s="217"/>
      <c r="D110" s="217"/>
      <c r="E110" s="217" t="s">
        <v>396</v>
      </c>
      <c r="F110" s="217"/>
      <c r="G110" s="218">
        <v>42631</v>
      </c>
      <c r="H110" s="217"/>
      <c r="I110" s="217" t="s">
        <v>460</v>
      </c>
      <c r="J110" s="217"/>
      <c r="K110" s="217" t="s">
        <v>391</v>
      </c>
      <c r="L110" s="217"/>
      <c r="M110" s="217"/>
      <c r="N110" s="217"/>
      <c r="O110" s="219"/>
      <c r="P110" s="217"/>
      <c r="Q110" s="217" t="s">
        <v>416</v>
      </c>
      <c r="R110" s="217"/>
      <c r="S110" s="220">
        <v>140</v>
      </c>
      <c r="T110" s="217"/>
      <c r="U110" s="220">
        <f t="shared" si="1"/>
        <v>368881.26</v>
      </c>
    </row>
    <row r="111" spans="1:21" x14ac:dyDescent="0.25">
      <c r="A111" s="217"/>
      <c r="B111" s="217"/>
      <c r="C111" s="217"/>
      <c r="D111" s="217"/>
      <c r="E111" s="217" t="s">
        <v>396</v>
      </c>
      <c r="F111" s="217"/>
      <c r="G111" s="218">
        <v>42631</v>
      </c>
      <c r="H111" s="217"/>
      <c r="I111" s="217" t="s">
        <v>461</v>
      </c>
      <c r="J111" s="217"/>
      <c r="K111" s="217" t="s">
        <v>391</v>
      </c>
      <c r="L111" s="217"/>
      <c r="M111" s="217"/>
      <c r="N111" s="217"/>
      <c r="O111" s="219"/>
      <c r="P111" s="217"/>
      <c r="Q111" s="217" t="s">
        <v>416</v>
      </c>
      <c r="R111" s="217"/>
      <c r="S111" s="220">
        <v>5325.35</v>
      </c>
      <c r="T111" s="217"/>
      <c r="U111" s="220">
        <f t="shared" si="1"/>
        <v>374206.61</v>
      </c>
    </row>
    <row r="112" spans="1:21" x14ac:dyDescent="0.25">
      <c r="A112" s="217"/>
      <c r="B112" s="217"/>
      <c r="C112" s="217"/>
      <c r="D112" s="217"/>
      <c r="E112" s="217" t="s">
        <v>396</v>
      </c>
      <c r="F112" s="217"/>
      <c r="G112" s="218">
        <v>42631</v>
      </c>
      <c r="H112" s="217"/>
      <c r="I112" s="217" t="s">
        <v>462</v>
      </c>
      <c r="J112" s="217"/>
      <c r="K112" s="217" t="s">
        <v>391</v>
      </c>
      <c r="L112" s="217"/>
      <c r="M112" s="217"/>
      <c r="N112" s="217"/>
      <c r="O112" s="219"/>
      <c r="P112" s="217"/>
      <c r="Q112" s="217" t="s">
        <v>416</v>
      </c>
      <c r="R112" s="217"/>
      <c r="S112" s="220">
        <v>126</v>
      </c>
      <c r="T112" s="217"/>
      <c r="U112" s="220">
        <f t="shared" si="1"/>
        <v>374332.61</v>
      </c>
    </row>
    <row r="113" spans="1:21" x14ac:dyDescent="0.25">
      <c r="A113" s="217"/>
      <c r="B113" s="217"/>
      <c r="C113" s="217"/>
      <c r="D113" s="217"/>
      <c r="E113" s="217" t="s">
        <v>385</v>
      </c>
      <c r="F113" s="217"/>
      <c r="G113" s="218">
        <v>42644</v>
      </c>
      <c r="H113" s="217"/>
      <c r="I113" s="217" t="s">
        <v>463</v>
      </c>
      <c r="J113" s="217"/>
      <c r="K113" s="217" t="s">
        <v>464</v>
      </c>
      <c r="L113" s="217"/>
      <c r="M113" s="217" t="s">
        <v>465</v>
      </c>
      <c r="N113" s="217"/>
      <c r="O113" s="219"/>
      <c r="P113" s="217"/>
      <c r="Q113" s="217" t="s">
        <v>416</v>
      </c>
      <c r="R113" s="217"/>
      <c r="S113" s="220">
        <v>19.850000000000001</v>
      </c>
      <c r="T113" s="217"/>
      <c r="U113" s="220">
        <f t="shared" si="1"/>
        <v>374352.46</v>
      </c>
    </row>
    <row r="114" spans="1:21" x14ac:dyDescent="0.25">
      <c r="A114" s="217"/>
      <c r="B114" s="217"/>
      <c r="C114" s="217"/>
      <c r="D114" s="217"/>
      <c r="E114" s="217" t="s">
        <v>396</v>
      </c>
      <c r="F114" s="217"/>
      <c r="G114" s="218">
        <v>42662</v>
      </c>
      <c r="H114" s="217"/>
      <c r="I114" s="217" t="s">
        <v>466</v>
      </c>
      <c r="J114" s="217"/>
      <c r="K114" s="217" t="s">
        <v>391</v>
      </c>
      <c r="L114" s="217"/>
      <c r="M114" s="217"/>
      <c r="N114" s="217"/>
      <c r="O114" s="219"/>
      <c r="P114" s="217"/>
      <c r="Q114" s="217" t="s">
        <v>416</v>
      </c>
      <c r="R114" s="217"/>
      <c r="S114" s="220">
        <v>140</v>
      </c>
      <c r="T114" s="217"/>
      <c r="U114" s="220">
        <f t="shared" si="1"/>
        <v>374492.46</v>
      </c>
    </row>
    <row r="115" spans="1:21" x14ac:dyDescent="0.25">
      <c r="A115" s="217"/>
      <c r="B115" s="217"/>
      <c r="C115" s="217"/>
      <c r="D115" s="217"/>
      <c r="E115" s="217" t="s">
        <v>396</v>
      </c>
      <c r="F115" s="217"/>
      <c r="G115" s="218">
        <v>42662</v>
      </c>
      <c r="H115" s="217"/>
      <c r="I115" s="217" t="s">
        <v>467</v>
      </c>
      <c r="J115" s="217"/>
      <c r="K115" s="217" t="s">
        <v>391</v>
      </c>
      <c r="L115" s="217"/>
      <c r="M115" s="217"/>
      <c r="N115" s="217"/>
      <c r="O115" s="219"/>
      <c r="P115" s="217"/>
      <c r="Q115" s="217" t="s">
        <v>416</v>
      </c>
      <c r="R115" s="217"/>
      <c r="S115" s="220">
        <v>102.56</v>
      </c>
      <c r="T115" s="217"/>
      <c r="U115" s="220">
        <f t="shared" si="1"/>
        <v>374595.02</v>
      </c>
    </row>
    <row r="116" spans="1:21" x14ac:dyDescent="0.25">
      <c r="A116" s="217"/>
      <c r="B116" s="217"/>
      <c r="C116" s="217"/>
      <c r="D116" s="217"/>
      <c r="E116" s="217" t="s">
        <v>396</v>
      </c>
      <c r="F116" s="217"/>
      <c r="G116" s="218">
        <v>42662</v>
      </c>
      <c r="H116" s="217"/>
      <c r="I116" s="217" t="s">
        <v>468</v>
      </c>
      <c r="J116" s="217"/>
      <c r="K116" s="217" t="s">
        <v>391</v>
      </c>
      <c r="L116" s="217"/>
      <c r="M116" s="217"/>
      <c r="N116" s="217"/>
      <c r="O116" s="219"/>
      <c r="P116" s="217"/>
      <c r="Q116" s="217" t="s">
        <v>416</v>
      </c>
      <c r="R116" s="217"/>
      <c r="S116" s="220">
        <v>126</v>
      </c>
      <c r="T116" s="217"/>
      <c r="U116" s="220">
        <f t="shared" si="1"/>
        <v>374721.02</v>
      </c>
    </row>
    <row r="117" spans="1:21" x14ac:dyDescent="0.25">
      <c r="A117" s="217"/>
      <c r="B117" s="217"/>
      <c r="C117" s="217"/>
      <c r="D117" s="217"/>
      <c r="E117" s="217" t="s">
        <v>396</v>
      </c>
      <c r="F117" s="217"/>
      <c r="G117" s="218">
        <v>42692</v>
      </c>
      <c r="H117" s="217"/>
      <c r="I117" s="217" t="s">
        <v>469</v>
      </c>
      <c r="J117" s="217"/>
      <c r="K117" s="217" t="s">
        <v>391</v>
      </c>
      <c r="L117" s="217"/>
      <c r="M117" s="217"/>
      <c r="N117" s="217"/>
      <c r="O117" s="219"/>
      <c r="P117" s="217"/>
      <c r="Q117" s="217" t="s">
        <v>398</v>
      </c>
      <c r="R117" s="217"/>
      <c r="S117" s="220">
        <v>5815</v>
      </c>
      <c r="T117" s="217"/>
      <c r="U117" s="220">
        <f t="shared" si="1"/>
        <v>380536.02</v>
      </c>
    </row>
    <row r="118" spans="1:21" x14ac:dyDescent="0.25">
      <c r="A118" s="217"/>
      <c r="B118" s="217"/>
      <c r="C118" s="217"/>
      <c r="D118" s="217"/>
      <c r="E118" s="217" t="s">
        <v>396</v>
      </c>
      <c r="F118" s="217"/>
      <c r="G118" s="218">
        <v>42692</v>
      </c>
      <c r="H118" s="217"/>
      <c r="I118" s="217" t="s">
        <v>470</v>
      </c>
      <c r="J118" s="217"/>
      <c r="K118" s="217" t="s">
        <v>391</v>
      </c>
      <c r="L118" s="217"/>
      <c r="M118" s="217"/>
      <c r="N118" s="217"/>
      <c r="O118" s="219"/>
      <c r="P118" s="217"/>
      <c r="Q118" s="217" t="s">
        <v>398</v>
      </c>
      <c r="R118" s="217"/>
      <c r="S118" s="220">
        <v>5106.38</v>
      </c>
      <c r="T118" s="217"/>
      <c r="U118" s="220">
        <f t="shared" si="1"/>
        <v>385642.4</v>
      </c>
    </row>
    <row r="119" spans="1:21" x14ac:dyDescent="0.25">
      <c r="A119" s="217"/>
      <c r="B119" s="217"/>
      <c r="C119" s="217"/>
      <c r="D119" s="217"/>
      <c r="E119" s="217" t="s">
        <v>396</v>
      </c>
      <c r="F119" s="217"/>
      <c r="G119" s="218">
        <v>42692</v>
      </c>
      <c r="H119" s="217"/>
      <c r="I119" s="217" t="s">
        <v>471</v>
      </c>
      <c r="J119" s="217"/>
      <c r="K119" s="217" t="s">
        <v>391</v>
      </c>
      <c r="L119" s="217"/>
      <c r="M119" s="217"/>
      <c r="N119" s="217"/>
      <c r="O119" s="219"/>
      <c r="P119" s="217"/>
      <c r="Q119" s="217" t="s">
        <v>398</v>
      </c>
      <c r="R119" s="217"/>
      <c r="S119" s="220">
        <v>2957</v>
      </c>
      <c r="T119" s="217"/>
      <c r="U119" s="220">
        <f t="shared" si="1"/>
        <v>388599.4</v>
      </c>
    </row>
    <row r="120" spans="1:21" x14ac:dyDescent="0.25">
      <c r="A120" s="217"/>
      <c r="B120" s="217"/>
      <c r="C120" s="217"/>
      <c r="D120" s="217"/>
      <c r="E120" s="217" t="s">
        <v>396</v>
      </c>
      <c r="F120" s="217"/>
      <c r="G120" s="218">
        <v>42724</v>
      </c>
      <c r="H120" s="217"/>
      <c r="I120" s="217" t="s">
        <v>472</v>
      </c>
      <c r="J120" s="217"/>
      <c r="K120" s="217" t="s">
        <v>391</v>
      </c>
      <c r="L120" s="217"/>
      <c r="M120" s="217"/>
      <c r="N120" s="217"/>
      <c r="O120" s="219"/>
      <c r="P120" s="217"/>
      <c r="Q120" s="217" t="s">
        <v>398</v>
      </c>
      <c r="R120" s="217"/>
      <c r="S120" s="220">
        <v>3194</v>
      </c>
      <c r="T120" s="217"/>
      <c r="U120" s="220">
        <f t="shared" si="1"/>
        <v>391793.4</v>
      </c>
    </row>
    <row r="121" spans="1:21" x14ac:dyDescent="0.25">
      <c r="A121" s="217"/>
      <c r="B121" s="217"/>
      <c r="C121" s="217"/>
      <c r="D121" s="217"/>
      <c r="E121" s="217" t="s">
        <v>396</v>
      </c>
      <c r="F121" s="217"/>
      <c r="G121" s="218">
        <v>42724</v>
      </c>
      <c r="H121" s="217"/>
      <c r="I121" s="217" t="s">
        <v>473</v>
      </c>
      <c r="J121" s="217"/>
      <c r="K121" s="217" t="s">
        <v>391</v>
      </c>
      <c r="L121" s="217"/>
      <c r="M121" s="217"/>
      <c r="N121" s="217"/>
      <c r="O121" s="219"/>
      <c r="P121" s="217"/>
      <c r="Q121" s="217" t="s">
        <v>398</v>
      </c>
      <c r="R121" s="217"/>
      <c r="S121" s="220">
        <v>13827.32</v>
      </c>
      <c r="T121" s="217"/>
      <c r="U121" s="220">
        <f t="shared" si="1"/>
        <v>405620.72</v>
      </c>
    </row>
    <row r="122" spans="1:21" x14ac:dyDescent="0.25">
      <c r="A122" s="217"/>
      <c r="B122" s="217"/>
      <c r="C122" s="217"/>
      <c r="D122" s="217"/>
      <c r="E122" s="217" t="s">
        <v>396</v>
      </c>
      <c r="F122" s="217"/>
      <c r="G122" s="218">
        <v>42724</v>
      </c>
      <c r="H122" s="217"/>
      <c r="I122" s="217" t="s">
        <v>474</v>
      </c>
      <c r="J122" s="217"/>
      <c r="K122" s="217" t="s">
        <v>391</v>
      </c>
      <c r="L122" s="217"/>
      <c r="M122" s="217"/>
      <c r="N122" s="217"/>
      <c r="O122" s="219"/>
      <c r="P122" s="217"/>
      <c r="Q122" s="217" t="s">
        <v>398</v>
      </c>
      <c r="R122" s="217"/>
      <c r="S122" s="220">
        <v>812</v>
      </c>
      <c r="T122" s="217"/>
      <c r="U122" s="220">
        <f t="shared" si="1"/>
        <v>406432.72</v>
      </c>
    </row>
    <row r="123" spans="1:21" x14ac:dyDescent="0.25">
      <c r="A123" s="217"/>
      <c r="B123" s="217"/>
      <c r="C123" s="217"/>
      <c r="D123" s="217"/>
      <c r="E123" s="217" t="s">
        <v>396</v>
      </c>
      <c r="F123" s="217"/>
      <c r="G123" s="218">
        <v>42754</v>
      </c>
      <c r="H123" s="217"/>
      <c r="I123" s="217" t="s">
        <v>475</v>
      </c>
      <c r="J123" s="217"/>
      <c r="K123" s="217" t="s">
        <v>391</v>
      </c>
      <c r="L123" s="217"/>
      <c r="M123" s="217"/>
      <c r="N123" s="217"/>
      <c r="O123" s="219"/>
      <c r="P123" s="217"/>
      <c r="Q123" s="217" t="s">
        <v>398</v>
      </c>
      <c r="R123" s="217"/>
      <c r="S123" s="220">
        <v>6564</v>
      </c>
      <c r="T123" s="217"/>
      <c r="U123" s="220">
        <f t="shared" si="1"/>
        <v>412996.72</v>
      </c>
    </row>
    <row r="124" spans="1:21" x14ac:dyDescent="0.25">
      <c r="A124" s="217"/>
      <c r="B124" s="217"/>
      <c r="C124" s="217"/>
      <c r="D124" s="217"/>
      <c r="E124" s="217" t="s">
        <v>396</v>
      </c>
      <c r="F124" s="217"/>
      <c r="G124" s="218">
        <v>42754</v>
      </c>
      <c r="H124" s="217"/>
      <c r="I124" s="217" t="s">
        <v>476</v>
      </c>
      <c r="J124" s="217"/>
      <c r="K124" s="217" t="s">
        <v>391</v>
      </c>
      <c r="L124" s="217"/>
      <c r="M124" s="217"/>
      <c r="N124" s="217"/>
      <c r="O124" s="219"/>
      <c r="P124" s="217"/>
      <c r="Q124" s="217" t="s">
        <v>398</v>
      </c>
      <c r="R124" s="217"/>
      <c r="S124" s="220">
        <v>102.56</v>
      </c>
      <c r="T124" s="217"/>
      <c r="U124" s="220">
        <f t="shared" si="1"/>
        <v>413099.28</v>
      </c>
    </row>
    <row r="125" spans="1:21" x14ac:dyDescent="0.25">
      <c r="A125" s="217"/>
      <c r="B125" s="217"/>
      <c r="C125" s="217"/>
      <c r="D125" s="217"/>
      <c r="E125" s="217" t="s">
        <v>396</v>
      </c>
      <c r="F125" s="217"/>
      <c r="G125" s="218">
        <v>42754</v>
      </c>
      <c r="H125" s="217"/>
      <c r="I125" s="217" t="s">
        <v>477</v>
      </c>
      <c r="J125" s="217"/>
      <c r="K125" s="217" t="s">
        <v>391</v>
      </c>
      <c r="L125" s="217"/>
      <c r="M125" s="217"/>
      <c r="N125" s="217"/>
      <c r="O125" s="219"/>
      <c r="P125" s="217"/>
      <c r="Q125" s="217" t="s">
        <v>398</v>
      </c>
      <c r="R125" s="217"/>
      <c r="S125" s="220">
        <v>2289</v>
      </c>
      <c r="T125" s="217"/>
      <c r="U125" s="220">
        <f t="shared" si="1"/>
        <v>415388.28</v>
      </c>
    </row>
    <row r="126" spans="1:21" x14ac:dyDescent="0.25">
      <c r="A126" s="217"/>
      <c r="B126" s="217"/>
      <c r="C126" s="217"/>
      <c r="D126" s="217"/>
      <c r="E126" s="217" t="s">
        <v>396</v>
      </c>
      <c r="F126" s="217"/>
      <c r="G126" s="218">
        <v>42794</v>
      </c>
      <c r="H126" s="217"/>
      <c r="I126" s="217" t="s">
        <v>478</v>
      </c>
      <c r="J126" s="217"/>
      <c r="K126" s="217" t="s">
        <v>391</v>
      </c>
      <c r="L126" s="217"/>
      <c r="M126" s="217"/>
      <c r="N126" s="217"/>
      <c r="O126" s="219"/>
      <c r="P126" s="217"/>
      <c r="Q126" s="217" t="s">
        <v>398</v>
      </c>
      <c r="R126" s="217"/>
      <c r="S126" s="220">
        <v>5622</v>
      </c>
      <c r="T126" s="217"/>
      <c r="U126" s="220">
        <f t="shared" si="1"/>
        <v>421010.28</v>
      </c>
    </row>
    <row r="127" spans="1:21" x14ac:dyDescent="0.25">
      <c r="A127" s="217"/>
      <c r="B127" s="217"/>
      <c r="C127" s="217"/>
      <c r="D127" s="217"/>
      <c r="E127" s="217" t="s">
        <v>396</v>
      </c>
      <c r="F127" s="217"/>
      <c r="G127" s="218">
        <v>42794</v>
      </c>
      <c r="H127" s="217"/>
      <c r="I127" s="217" t="s">
        <v>479</v>
      </c>
      <c r="J127" s="217"/>
      <c r="K127" s="217" t="s">
        <v>391</v>
      </c>
      <c r="L127" s="217"/>
      <c r="M127" s="217"/>
      <c r="N127" s="217"/>
      <c r="O127" s="219"/>
      <c r="P127" s="217"/>
      <c r="Q127" s="217" t="s">
        <v>398</v>
      </c>
      <c r="R127" s="217"/>
      <c r="S127" s="220">
        <v>1055.67</v>
      </c>
      <c r="T127" s="217"/>
      <c r="U127" s="220">
        <f t="shared" si="1"/>
        <v>422065.95</v>
      </c>
    </row>
    <row r="128" spans="1:21" x14ac:dyDescent="0.25">
      <c r="A128" s="217"/>
      <c r="B128" s="217"/>
      <c r="C128" s="217"/>
      <c r="D128" s="217"/>
      <c r="E128" s="217" t="s">
        <v>396</v>
      </c>
      <c r="F128" s="217"/>
      <c r="G128" s="218">
        <v>42794</v>
      </c>
      <c r="H128" s="217"/>
      <c r="I128" s="217" t="s">
        <v>480</v>
      </c>
      <c r="J128" s="217"/>
      <c r="K128" s="217" t="s">
        <v>391</v>
      </c>
      <c r="L128" s="217"/>
      <c r="M128" s="217"/>
      <c r="N128" s="217"/>
      <c r="O128" s="219"/>
      <c r="P128" s="217"/>
      <c r="Q128" s="217" t="s">
        <v>398</v>
      </c>
      <c r="R128" s="217"/>
      <c r="S128" s="220">
        <v>1024</v>
      </c>
      <c r="T128" s="217"/>
      <c r="U128" s="220">
        <f t="shared" si="1"/>
        <v>423089.95</v>
      </c>
    </row>
    <row r="129" spans="1:21" x14ac:dyDescent="0.25">
      <c r="A129" s="217"/>
      <c r="B129" s="217"/>
      <c r="C129" s="217"/>
      <c r="D129" s="217"/>
      <c r="E129" s="217" t="s">
        <v>396</v>
      </c>
      <c r="F129" s="217"/>
      <c r="G129" s="218">
        <v>42813</v>
      </c>
      <c r="H129" s="217"/>
      <c r="I129" s="217" t="s">
        <v>481</v>
      </c>
      <c r="J129" s="217"/>
      <c r="K129" s="217" t="s">
        <v>391</v>
      </c>
      <c r="L129" s="217"/>
      <c r="M129" s="217"/>
      <c r="N129" s="217"/>
      <c r="O129" s="219"/>
      <c r="P129" s="217"/>
      <c r="Q129" s="217" t="s">
        <v>398</v>
      </c>
      <c r="R129" s="217"/>
      <c r="S129" s="220">
        <v>4888</v>
      </c>
      <c r="T129" s="217"/>
      <c r="U129" s="220">
        <f t="shared" si="1"/>
        <v>427977.95</v>
      </c>
    </row>
    <row r="130" spans="1:21" x14ac:dyDescent="0.25">
      <c r="A130" s="217"/>
      <c r="B130" s="217"/>
      <c r="C130" s="217"/>
      <c r="D130" s="217"/>
      <c r="E130" s="217" t="s">
        <v>396</v>
      </c>
      <c r="F130" s="217"/>
      <c r="G130" s="218">
        <v>42813</v>
      </c>
      <c r="H130" s="217"/>
      <c r="I130" s="217" t="s">
        <v>482</v>
      </c>
      <c r="J130" s="217"/>
      <c r="K130" s="217" t="s">
        <v>391</v>
      </c>
      <c r="L130" s="217"/>
      <c r="M130" s="217"/>
      <c r="N130" s="217"/>
      <c r="O130" s="219"/>
      <c r="P130" s="217"/>
      <c r="Q130" s="217" t="s">
        <v>398</v>
      </c>
      <c r="R130" s="217"/>
      <c r="S130" s="220">
        <v>102.56</v>
      </c>
      <c r="T130" s="217"/>
      <c r="U130" s="220">
        <f t="shared" si="1"/>
        <v>428080.51</v>
      </c>
    </row>
    <row r="131" spans="1:21" x14ac:dyDescent="0.25">
      <c r="A131" s="217"/>
      <c r="B131" s="217"/>
      <c r="C131" s="217"/>
      <c r="D131" s="217"/>
      <c r="E131" s="217" t="s">
        <v>396</v>
      </c>
      <c r="F131" s="217"/>
      <c r="G131" s="218">
        <v>42813</v>
      </c>
      <c r="H131" s="217"/>
      <c r="I131" s="217" t="s">
        <v>483</v>
      </c>
      <c r="J131" s="217"/>
      <c r="K131" s="217" t="s">
        <v>391</v>
      </c>
      <c r="L131" s="217"/>
      <c r="M131" s="217"/>
      <c r="N131" s="217"/>
      <c r="O131" s="219"/>
      <c r="P131" s="217"/>
      <c r="Q131" s="217" t="s">
        <v>398</v>
      </c>
      <c r="R131" s="217"/>
      <c r="S131" s="220">
        <v>972</v>
      </c>
      <c r="T131" s="217"/>
      <c r="U131" s="220">
        <f t="shared" ref="U131:U194" si="2">ROUND(U130+S131,5)</f>
        <v>429052.51</v>
      </c>
    </row>
    <row r="132" spans="1:21" x14ac:dyDescent="0.25">
      <c r="A132" s="217"/>
      <c r="B132" s="217"/>
      <c r="C132" s="217"/>
      <c r="D132" s="217"/>
      <c r="E132" s="217" t="s">
        <v>396</v>
      </c>
      <c r="F132" s="217"/>
      <c r="G132" s="218">
        <v>42844</v>
      </c>
      <c r="H132" s="217"/>
      <c r="I132" s="217" t="s">
        <v>484</v>
      </c>
      <c r="J132" s="217"/>
      <c r="K132" s="217" t="s">
        <v>391</v>
      </c>
      <c r="L132" s="217"/>
      <c r="M132" s="217"/>
      <c r="N132" s="217"/>
      <c r="O132" s="219"/>
      <c r="P132" s="217"/>
      <c r="Q132" s="217" t="s">
        <v>398</v>
      </c>
      <c r="R132" s="217"/>
      <c r="S132" s="220">
        <v>8501</v>
      </c>
      <c r="T132" s="217"/>
      <c r="U132" s="220">
        <f t="shared" si="2"/>
        <v>437553.51</v>
      </c>
    </row>
    <row r="133" spans="1:21" x14ac:dyDescent="0.25">
      <c r="A133" s="217"/>
      <c r="B133" s="217"/>
      <c r="C133" s="217"/>
      <c r="D133" s="217"/>
      <c r="E133" s="217" t="s">
        <v>396</v>
      </c>
      <c r="F133" s="217"/>
      <c r="G133" s="218">
        <v>42844</v>
      </c>
      <c r="H133" s="217"/>
      <c r="I133" s="217" t="s">
        <v>485</v>
      </c>
      <c r="J133" s="217"/>
      <c r="K133" s="217" t="s">
        <v>391</v>
      </c>
      <c r="L133" s="217"/>
      <c r="M133" s="217"/>
      <c r="N133" s="217"/>
      <c r="O133" s="219"/>
      <c r="P133" s="217"/>
      <c r="Q133" s="217" t="s">
        <v>398</v>
      </c>
      <c r="R133" s="217"/>
      <c r="S133" s="220">
        <v>6577.39</v>
      </c>
      <c r="T133" s="217"/>
      <c r="U133" s="220">
        <f t="shared" si="2"/>
        <v>444130.9</v>
      </c>
    </row>
    <row r="134" spans="1:21" x14ac:dyDescent="0.25">
      <c r="A134" s="217"/>
      <c r="B134" s="217"/>
      <c r="C134" s="217"/>
      <c r="D134" s="217"/>
      <c r="E134" s="217" t="s">
        <v>396</v>
      </c>
      <c r="F134" s="217"/>
      <c r="G134" s="218">
        <v>42844</v>
      </c>
      <c r="H134" s="217"/>
      <c r="I134" s="217" t="s">
        <v>486</v>
      </c>
      <c r="J134" s="217"/>
      <c r="K134" s="217" t="s">
        <v>391</v>
      </c>
      <c r="L134" s="217"/>
      <c r="M134" s="217"/>
      <c r="N134" s="217"/>
      <c r="O134" s="219"/>
      <c r="P134" s="217"/>
      <c r="Q134" s="217" t="s">
        <v>398</v>
      </c>
      <c r="R134" s="217"/>
      <c r="S134" s="220">
        <v>3412</v>
      </c>
      <c r="T134" s="217"/>
      <c r="U134" s="220">
        <f t="shared" si="2"/>
        <v>447542.9</v>
      </c>
    </row>
    <row r="135" spans="1:21" x14ac:dyDescent="0.25">
      <c r="A135" s="217"/>
      <c r="B135" s="217"/>
      <c r="C135" s="217"/>
      <c r="D135" s="217"/>
      <c r="E135" s="217" t="s">
        <v>396</v>
      </c>
      <c r="F135" s="217"/>
      <c r="G135" s="218">
        <v>42874</v>
      </c>
      <c r="H135" s="217"/>
      <c r="I135" s="217" t="s">
        <v>487</v>
      </c>
      <c r="J135" s="217"/>
      <c r="K135" s="217" t="s">
        <v>391</v>
      </c>
      <c r="L135" s="217"/>
      <c r="M135" s="217"/>
      <c r="N135" s="217"/>
      <c r="O135" s="219"/>
      <c r="P135" s="217"/>
      <c r="Q135" s="217" t="s">
        <v>398</v>
      </c>
      <c r="R135" s="217"/>
      <c r="S135" s="220">
        <v>7386</v>
      </c>
      <c r="T135" s="217"/>
      <c r="U135" s="220">
        <f t="shared" si="2"/>
        <v>454928.9</v>
      </c>
    </row>
    <row r="136" spans="1:21" x14ac:dyDescent="0.25">
      <c r="A136" s="217"/>
      <c r="B136" s="217"/>
      <c r="C136" s="217"/>
      <c r="D136" s="217"/>
      <c r="E136" s="217" t="s">
        <v>396</v>
      </c>
      <c r="F136" s="217"/>
      <c r="G136" s="218">
        <v>42874</v>
      </c>
      <c r="H136" s="217"/>
      <c r="I136" s="217" t="s">
        <v>488</v>
      </c>
      <c r="J136" s="217"/>
      <c r="K136" s="217" t="s">
        <v>391</v>
      </c>
      <c r="L136" s="217"/>
      <c r="M136" s="217"/>
      <c r="N136" s="217"/>
      <c r="O136" s="219"/>
      <c r="P136" s="217"/>
      <c r="Q136" s="217" t="s">
        <v>398</v>
      </c>
      <c r="R136" s="217"/>
      <c r="S136" s="220">
        <v>8409.17</v>
      </c>
      <c r="T136" s="217"/>
      <c r="U136" s="220">
        <f t="shared" si="2"/>
        <v>463338.07</v>
      </c>
    </row>
    <row r="137" spans="1:21" x14ac:dyDescent="0.25">
      <c r="A137" s="217"/>
      <c r="B137" s="217"/>
      <c r="C137" s="217"/>
      <c r="D137" s="217"/>
      <c r="E137" s="217" t="s">
        <v>396</v>
      </c>
      <c r="F137" s="217"/>
      <c r="G137" s="218">
        <v>42874</v>
      </c>
      <c r="H137" s="217"/>
      <c r="I137" s="217" t="s">
        <v>489</v>
      </c>
      <c r="J137" s="217"/>
      <c r="K137" s="217" t="s">
        <v>391</v>
      </c>
      <c r="L137" s="217"/>
      <c r="M137" s="217"/>
      <c r="N137" s="217"/>
      <c r="O137" s="219"/>
      <c r="P137" s="217"/>
      <c r="Q137" s="217" t="s">
        <v>398</v>
      </c>
      <c r="R137" s="217"/>
      <c r="S137" s="220">
        <v>3613</v>
      </c>
      <c r="T137" s="217"/>
      <c r="U137" s="220">
        <f t="shared" si="2"/>
        <v>466951.07</v>
      </c>
    </row>
    <row r="138" spans="1:21" x14ac:dyDescent="0.25">
      <c r="A138" s="217"/>
      <c r="B138" s="217"/>
      <c r="C138" s="217"/>
      <c r="D138" s="217"/>
      <c r="E138" s="217" t="s">
        <v>396</v>
      </c>
      <c r="F138" s="217"/>
      <c r="G138" s="218">
        <v>42915</v>
      </c>
      <c r="H138" s="217"/>
      <c r="I138" s="217" t="s">
        <v>490</v>
      </c>
      <c r="J138" s="217"/>
      <c r="K138" s="217" t="s">
        <v>391</v>
      </c>
      <c r="L138" s="217"/>
      <c r="M138" s="217"/>
      <c r="N138" s="217"/>
      <c r="O138" s="219"/>
      <c r="P138" s="217"/>
      <c r="Q138" s="217" t="s">
        <v>398</v>
      </c>
      <c r="R138" s="217"/>
      <c r="S138" s="220">
        <v>6793</v>
      </c>
      <c r="T138" s="217"/>
      <c r="U138" s="220">
        <f t="shared" si="2"/>
        <v>473744.07</v>
      </c>
    </row>
    <row r="139" spans="1:21" x14ac:dyDescent="0.25">
      <c r="A139" s="217"/>
      <c r="B139" s="217"/>
      <c r="C139" s="217"/>
      <c r="D139" s="217"/>
      <c r="E139" s="217" t="s">
        <v>396</v>
      </c>
      <c r="F139" s="217"/>
      <c r="G139" s="218">
        <v>42915</v>
      </c>
      <c r="H139" s="217"/>
      <c r="I139" s="217" t="s">
        <v>491</v>
      </c>
      <c r="J139" s="217"/>
      <c r="K139" s="217" t="s">
        <v>391</v>
      </c>
      <c r="L139" s="217"/>
      <c r="M139" s="217"/>
      <c r="N139" s="217"/>
      <c r="O139" s="219"/>
      <c r="P139" s="217"/>
      <c r="Q139" s="217" t="s">
        <v>398</v>
      </c>
      <c r="R139" s="217"/>
      <c r="S139" s="220">
        <v>7591.75</v>
      </c>
      <c r="T139" s="217"/>
      <c r="U139" s="220">
        <f t="shared" si="2"/>
        <v>481335.82</v>
      </c>
    </row>
    <row r="140" spans="1:21" x14ac:dyDescent="0.25">
      <c r="A140" s="217"/>
      <c r="B140" s="217"/>
      <c r="C140" s="217"/>
      <c r="D140" s="217"/>
      <c r="E140" s="217" t="s">
        <v>396</v>
      </c>
      <c r="F140" s="217"/>
      <c r="G140" s="218">
        <v>42915</v>
      </c>
      <c r="H140" s="217"/>
      <c r="I140" s="217" t="s">
        <v>492</v>
      </c>
      <c r="J140" s="217"/>
      <c r="K140" s="217" t="s">
        <v>391</v>
      </c>
      <c r="L140" s="217"/>
      <c r="M140" s="217"/>
      <c r="N140" s="217"/>
      <c r="O140" s="219"/>
      <c r="P140" s="217"/>
      <c r="Q140" s="217" t="s">
        <v>398</v>
      </c>
      <c r="R140" s="217"/>
      <c r="S140" s="220">
        <v>3072</v>
      </c>
      <c r="T140" s="217"/>
      <c r="U140" s="220">
        <f t="shared" si="2"/>
        <v>484407.82</v>
      </c>
    </row>
    <row r="141" spans="1:21" x14ac:dyDescent="0.25">
      <c r="A141" s="217"/>
      <c r="B141" s="217"/>
      <c r="C141" s="217"/>
      <c r="D141" s="217"/>
      <c r="E141" s="217" t="s">
        <v>396</v>
      </c>
      <c r="F141" s="217"/>
      <c r="G141" s="218">
        <v>42935</v>
      </c>
      <c r="H141" s="217"/>
      <c r="I141" s="217" t="s">
        <v>493</v>
      </c>
      <c r="J141" s="217"/>
      <c r="K141" s="217" t="s">
        <v>391</v>
      </c>
      <c r="L141" s="217"/>
      <c r="M141" s="217"/>
      <c r="N141" s="217"/>
      <c r="O141" s="219"/>
      <c r="P141" s="217"/>
      <c r="Q141" s="217" t="s">
        <v>398</v>
      </c>
      <c r="R141" s="217"/>
      <c r="S141" s="220">
        <v>4933</v>
      </c>
      <c r="T141" s="217"/>
      <c r="U141" s="220">
        <f t="shared" si="2"/>
        <v>489340.82</v>
      </c>
    </row>
    <row r="142" spans="1:21" x14ac:dyDescent="0.25">
      <c r="A142" s="217"/>
      <c r="B142" s="217"/>
      <c r="C142" s="217"/>
      <c r="D142" s="217"/>
      <c r="E142" s="217" t="s">
        <v>396</v>
      </c>
      <c r="F142" s="217"/>
      <c r="G142" s="218">
        <v>42935</v>
      </c>
      <c r="H142" s="217"/>
      <c r="I142" s="217" t="s">
        <v>494</v>
      </c>
      <c r="J142" s="217"/>
      <c r="K142" s="217" t="s">
        <v>391</v>
      </c>
      <c r="L142" s="217"/>
      <c r="M142" s="217"/>
      <c r="N142" s="217"/>
      <c r="O142" s="219"/>
      <c r="P142" s="217"/>
      <c r="Q142" s="217" t="s">
        <v>398</v>
      </c>
      <c r="R142" s="217"/>
      <c r="S142" s="220">
        <v>5106.38</v>
      </c>
      <c r="T142" s="217"/>
      <c r="U142" s="220">
        <f t="shared" si="2"/>
        <v>494447.2</v>
      </c>
    </row>
    <row r="143" spans="1:21" x14ac:dyDescent="0.25">
      <c r="A143" s="217"/>
      <c r="B143" s="217"/>
      <c r="C143" s="217"/>
      <c r="D143" s="217"/>
      <c r="E143" s="217" t="s">
        <v>396</v>
      </c>
      <c r="F143" s="217"/>
      <c r="G143" s="218">
        <v>42935</v>
      </c>
      <c r="H143" s="217"/>
      <c r="I143" s="217" t="s">
        <v>495</v>
      </c>
      <c r="J143" s="217"/>
      <c r="K143" s="217" t="s">
        <v>391</v>
      </c>
      <c r="L143" s="217"/>
      <c r="M143" s="217"/>
      <c r="N143" s="217"/>
      <c r="O143" s="219"/>
      <c r="P143" s="217"/>
      <c r="Q143" s="217" t="s">
        <v>398</v>
      </c>
      <c r="R143" s="217"/>
      <c r="S143" s="220">
        <v>2256</v>
      </c>
      <c r="T143" s="217"/>
      <c r="U143" s="220">
        <f t="shared" si="2"/>
        <v>496703.2</v>
      </c>
    </row>
    <row r="144" spans="1:21" x14ac:dyDescent="0.25">
      <c r="A144" s="217"/>
      <c r="B144" s="217"/>
      <c r="C144" s="217"/>
      <c r="D144" s="217"/>
      <c r="E144" s="217" t="s">
        <v>396</v>
      </c>
      <c r="F144" s="217"/>
      <c r="G144" s="218">
        <v>42965</v>
      </c>
      <c r="H144" s="217"/>
      <c r="I144" s="217" t="s">
        <v>496</v>
      </c>
      <c r="J144" s="217"/>
      <c r="K144" s="217" t="s">
        <v>391</v>
      </c>
      <c r="L144" s="217"/>
      <c r="M144" s="217"/>
      <c r="N144" s="217"/>
      <c r="O144" s="219"/>
      <c r="P144" s="217"/>
      <c r="Q144" s="217" t="s">
        <v>398</v>
      </c>
      <c r="R144" s="217"/>
      <c r="S144" s="220">
        <v>141</v>
      </c>
      <c r="T144" s="217"/>
      <c r="U144" s="220">
        <f t="shared" si="2"/>
        <v>496844.2</v>
      </c>
    </row>
    <row r="145" spans="1:21" x14ac:dyDescent="0.25">
      <c r="A145" s="217"/>
      <c r="B145" s="217"/>
      <c r="C145" s="217"/>
      <c r="D145" s="217"/>
      <c r="E145" s="217" t="s">
        <v>396</v>
      </c>
      <c r="F145" s="217"/>
      <c r="G145" s="218">
        <v>42965</v>
      </c>
      <c r="H145" s="217"/>
      <c r="I145" s="217" t="s">
        <v>407</v>
      </c>
      <c r="J145" s="217"/>
      <c r="K145" s="217" t="s">
        <v>391</v>
      </c>
      <c r="L145" s="217"/>
      <c r="M145" s="217"/>
      <c r="N145" s="217"/>
      <c r="O145" s="219"/>
      <c r="P145" s="217"/>
      <c r="Q145" s="217" t="s">
        <v>398</v>
      </c>
      <c r="R145" s="217"/>
      <c r="S145" s="220">
        <v>102.56</v>
      </c>
      <c r="T145" s="217"/>
      <c r="U145" s="220">
        <f t="shared" si="2"/>
        <v>496946.76</v>
      </c>
    </row>
    <row r="146" spans="1:21" x14ac:dyDescent="0.25">
      <c r="A146" s="217"/>
      <c r="B146" s="217"/>
      <c r="C146" s="217"/>
      <c r="D146" s="217"/>
      <c r="E146" s="217" t="s">
        <v>396</v>
      </c>
      <c r="F146" s="217"/>
      <c r="G146" s="218">
        <v>42965</v>
      </c>
      <c r="H146" s="217"/>
      <c r="I146" s="217" t="s">
        <v>497</v>
      </c>
      <c r="J146" s="217"/>
      <c r="K146" s="217" t="s">
        <v>391</v>
      </c>
      <c r="L146" s="217"/>
      <c r="M146" s="217"/>
      <c r="N146" s="217"/>
      <c r="O146" s="219"/>
      <c r="P146" s="217"/>
      <c r="Q146" s="217" t="s">
        <v>398</v>
      </c>
      <c r="R146" s="217"/>
      <c r="S146" s="220">
        <v>126</v>
      </c>
      <c r="T146" s="217"/>
      <c r="U146" s="220">
        <f t="shared" si="2"/>
        <v>497072.76</v>
      </c>
    </row>
    <row r="147" spans="1:21" x14ac:dyDescent="0.25">
      <c r="A147" s="217"/>
      <c r="B147" s="217"/>
      <c r="C147" s="217"/>
      <c r="D147" s="217"/>
      <c r="E147" s="217" t="s">
        <v>396</v>
      </c>
      <c r="F147" s="217"/>
      <c r="G147" s="218">
        <v>42997</v>
      </c>
      <c r="H147" s="217"/>
      <c r="I147" s="217" t="s">
        <v>498</v>
      </c>
      <c r="J147" s="217"/>
      <c r="K147" s="217" t="s">
        <v>391</v>
      </c>
      <c r="L147" s="217"/>
      <c r="M147" s="217"/>
      <c r="N147" s="217"/>
      <c r="O147" s="219"/>
      <c r="P147" s="217"/>
      <c r="Q147" s="217" t="s">
        <v>416</v>
      </c>
      <c r="R147" s="217"/>
      <c r="S147" s="220">
        <v>4246</v>
      </c>
      <c r="T147" s="217"/>
      <c r="U147" s="220">
        <f t="shared" si="2"/>
        <v>501318.76</v>
      </c>
    </row>
    <row r="148" spans="1:21" x14ac:dyDescent="0.25">
      <c r="A148" s="217"/>
      <c r="B148" s="217"/>
      <c r="C148" s="217"/>
      <c r="D148" s="217"/>
      <c r="E148" s="217" t="s">
        <v>396</v>
      </c>
      <c r="F148" s="217"/>
      <c r="G148" s="218">
        <v>42997</v>
      </c>
      <c r="H148" s="217"/>
      <c r="I148" s="217" t="s">
        <v>499</v>
      </c>
      <c r="J148" s="217"/>
      <c r="K148" s="217" t="s">
        <v>391</v>
      </c>
      <c r="L148" s="217"/>
      <c r="M148" s="217"/>
      <c r="N148" s="217"/>
      <c r="O148" s="219"/>
      <c r="P148" s="217"/>
      <c r="Q148" s="217" t="s">
        <v>416</v>
      </c>
      <c r="R148" s="217"/>
      <c r="S148" s="220">
        <v>5482.7</v>
      </c>
      <c r="T148" s="217"/>
      <c r="U148" s="220">
        <f t="shared" si="2"/>
        <v>506801.46</v>
      </c>
    </row>
    <row r="149" spans="1:21" x14ac:dyDescent="0.25">
      <c r="A149" s="217"/>
      <c r="B149" s="217"/>
      <c r="C149" s="217"/>
      <c r="D149" s="217"/>
      <c r="E149" s="217" t="s">
        <v>396</v>
      </c>
      <c r="F149" s="217"/>
      <c r="G149" s="218">
        <v>42997</v>
      </c>
      <c r="H149" s="217"/>
      <c r="I149" s="217" t="s">
        <v>500</v>
      </c>
      <c r="J149" s="217"/>
      <c r="K149" s="217" t="s">
        <v>391</v>
      </c>
      <c r="L149" s="217"/>
      <c r="M149" s="217"/>
      <c r="N149" s="217"/>
      <c r="O149" s="219"/>
      <c r="P149" s="217"/>
      <c r="Q149" s="217" t="s">
        <v>416</v>
      </c>
      <c r="R149" s="217"/>
      <c r="S149" s="220">
        <v>126</v>
      </c>
      <c r="T149" s="217"/>
      <c r="U149" s="220">
        <f t="shared" si="2"/>
        <v>506927.46</v>
      </c>
    </row>
    <row r="150" spans="1:21" x14ac:dyDescent="0.25">
      <c r="A150" s="217"/>
      <c r="B150" s="217"/>
      <c r="C150" s="217"/>
      <c r="D150" s="217"/>
      <c r="E150" s="217" t="s">
        <v>385</v>
      </c>
      <c r="F150" s="217"/>
      <c r="G150" s="218">
        <v>43009</v>
      </c>
      <c r="H150" s="217"/>
      <c r="I150" s="217" t="s">
        <v>501</v>
      </c>
      <c r="J150" s="217"/>
      <c r="K150" s="217"/>
      <c r="L150" s="217"/>
      <c r="M150" s="217" t="s">
        <v>502</v>
      </c>
      <c r="N150" s="217"/>
      <c r="O150" s="219"/>
      <c r="P150" s="217"/>
      <c r="Q150" s="217" t="s">
        <v>416</v>
      </c>
      <c r="R150" s="217"/>
      <c r="S150" s="220">
        <v>286.27</v>
      </c>
      <c r="T150" s="217"/>
      <c r="U150" s="220">
        <f t="shared" si="2"/>
        <v>507213.73</v>
      </c>
    </row>
    <row r="151" spans="1:21" x14ac:dyDescent="0.25">
      <c r="A151" s="217"/>
      <c r="B151" s="217"/>
      <c r="C151" s="217"/>
      <c r="D151" s="217"/>
      <c r="E151" s="217" t="s">
        <v>385</v>
      </c>
      <c r="F151" s="217"/>
      <c r="G151" s="218">
        <v>43009</v>
      </c>
      <c r="H151" s="217"/>
      <c r="I151" s="217" t="s">
        <v>503</v>
      </c>
      <c r="J151" s="217"/>
      <c r="K151" s="217" t="s">
        <v>504</v>
      </c>
      <c r="L151" s="217"/>
      <c r="M151" s="217"/>
      <c r="N151" s="217"/>
      <c r="O151" s="219"/>
      <c r="P151" s="217"/>
      <c r="Q151" s="217" t="s">
        <v>416</v>
      </c>
      <c r="R151" s="217"/>
      <c r="S151" s="220">
        <v>43.77</v>
      </c>
      <c r="T151" s="217"/>
      <c r="U151" s="220">
        <f t="shared" si="2"/>
        <v>507257.5</v>
      </c>
    </row>
    <row r="152" spans="1:21" x14ac:dyDescent="0.25">
      <c r="A152" s="217"/>
      <c r="B152" s="217"/>
      <c r="C152" s="217"/>
      <c r="D152" s="217"/>
      <c r="E152" s="217" t="s">
        <v>396</v>
      </c>
      <c r="F152" s="217"/>
      <c r="G152" s="218">
        <v>43027</v>
      </c>
      <c r="H152" s="217"/>
      <c r="I152" s="217" t="s">
        <v>505</v>
      </c>
      <c r="J152" s="217"/>
      <c r="K152" s="217" t="s">
        <v>391</v>
      </c>
      <c r="L152" s="217"/>
      <c r="M152" s="217"/>
      <c r="N152" s="217"/>
      <c r="O152" s="219"/>
      <c r="P152" s="217"/>
      <c r="Q152" s="217" t="s">
        <v>416</v>
      </c>
      <c r="R152" s="217"/>
      <c r="S152" s="220">
        <v>3553</v>
      </c>
      <c r="T152" s="217"/>
      <c r="U152" s="220">
        <f t="shared" si="2"/>
        <v>510810.5</v>
      </c>
    </row>
    <row r="153" spans="1:21" x14ac:dyDescent="0.25">
      <c r="A153" s="217"/>
      <c r="B153" s="217"/>
      <c r="C153" s="217"/>
      <c r="D153" s="217"/>
      <c r="E153" s="217" t="s">
        <v>396</v>
      </c>
      <c r="F153" s="217"/>
      <c r="G153" s="218">
        <v>43027</v>
      </c>
      <c r="H153" s="217"/>
      <c r="I153" s="217" t="s">
        <v>506</v>
      </c>
      <c r="J153" s="217"/>
      <c r="K153" s="217" t="s">
        <v>391</v>
      </c>
      <c r="L153" s="217"/>
      <c r="M153" s="217"/>
      <c r="N153" s="217"/>
      <c r="O153" s="219"/>
      <c r="P153" s="217"/>
      <c r="Q153" s="217" t="s">
        <v>416</v>
      </c>
      <c r="R153" s="217"/>
      <c r="S153" s="220">
        <v>904.04</v>
      </c>
      <c r="T153" s="217"/>
      <c r="U153" s="220">
        <f t="shared" si="2"/>
        <v>511714.54</v>
      </c>
    </row>
    <row r="154" spans="1:21" x14ac:dyDescent="0.25">
      <c r="A154" s="217"/>
      <c r="B154" s="217"/>
      <c r="C154" s="217"/>
      <c r="D154" s="217"/>
      <c r="E154" s="217" t="s">
        <v>396</v>
      </c>
      <c r="F154" s="217"/>
      <c r="G154" s="218">
        <v>43027</v>
      </c>
      <c r="H154" s="217"/>
      <c r="I154" s="217" t="s">
        <v>507</v>
      </c>
      <c r="J154" s="217"/>
      <c r="K154" s="217" t="s">
        <v>391</v>
      </c>
      <c r="L154" s="217"/>
      <c r="M154" s="217"/>
      <c r="N154" s="217"/>
      <c r="O154" s="219"/>
      <c r="P154" s="217"/>
      <c r="Q154" s="217" t="s">
        <v>416</v>
      </c>
      <c r="R154" s="217"/>
      <c r="S154" s="220">
        <v>126</v>
      </c>
      <c r="T154" s="217"/>
      <c r="U154" s="220">
        <f t="shared" si="2"/>
        <v>511840.54</v>
      </c>
    </row>
    <row r="155" spans="1:21" x14ac:dyDescent="0.25">
      <c r="A155" s="217"/>
      <c r="B155" s="217"/>
      <c r="C155" s="217"/>
      <c r="D155" s="217"/>
      <c r="E155" s="217" t="s">
        <v>418</v>
      </c>
      <c r="F155" s="217"/>
      <c r="G155" s="218">
        <v>43056</v>
      </c>
      <c r="H155" s="217"/>
      <c r="I155" s="217" t="s">
        <v>508</v>
      </c>
      <c r="J155" s="217"/>
      <c r="K155" s="217" t="s">
        <v>391</v>
      </c>
      <c r="L155" s="217"/>
      <c r="M155" s="217"/>
      <c r="N155" s="217"/>
      <c r="O155" s="219"/>
      <c r="P155" s="217"/>
      <c r="Q155" s="217" t="s">
        <v>416</v>
      </c>
      <c r="R155" s="217"/>
      <c r="S155" s="220">
        <v>-8295.43</v>
      </c>
      <c r="T155" s="217"/>
      <c r="U155" s="220">
        <f t="shared" si="2"/>
        <v>503545.11</v>
      </c>
    </row>
    <row r="156" spans="1:21" x14ac:dyDescent="0.25">
      <c r="A156" s="217"/>
      <c r="B156" s="217"/>
      <c r="C156" s="217"/>
      <c r="D156" s="217"/>
      <c r="E156" s="217" t="s">
        <v>396</v>
      </c>
      <c r="F156" s="217"/>
      <c r="G156" s="218">
        <v>43056</v>
      </c>
      <c r="H156" s="217"/>
      <c r="I156" s="217" t="s">
        <v>508</v>
      </c>
      <c r="J156" s="217"/>
      <c r="K156" s="217" t="s">
        <v>391</v>
      </c>
      <c r="L156" s="217"/>
      <c r="M156" s="217"/>
      <c r="N156" s="217"/>
      <c r="O156" s="219"/>
      <c r="P156" s="217"/>
      <c r="Q156" s="217" t="s">
        <v>416</v>
      </c>
      <c r="R156" s="217"/>
      <c r="S156" s="220">
        <v>3564.43</v>
      </c>
      <c r="T156" s="217"/>
      <c r="U156" s="220">
        <f t="shared" si="2"/>
        <v>507109.54</v>
      </c>
    </row>
    <row r="157" spans="1:21" x14ac:dyDescent="0.25">
      <c r="A157" s="217"/>
      <c r="B157" s="217"/>
      <c r="C157" s="217"/>
      <c r="D157" s="217"/>
      <c r="E157" s="217" t="s">
        <v>396</v>
      </c>
      <c r="F157" s="217"/>
      <c r="G157" s="218">
        <v>43056</v>
      </c>
      <c r="H157" s="217"/>
      <c r="I157" s="217" t="s">
        <v>509</v>
      </c>
      <c r="J157" s="217"/>
      <c r="K157" s="217" t="s">
        <v>391</v>
      </c>
      <c r="L157" s="217"/>
      <c r="M157" s="217"/>
      <c r="N157" s="217"/>
      <c r="O157" s="219"/>
      <c r="P157" s="217"/>
      <c r="Q157" s="217" t="s">
        <v>416</v>
      </c>
      <c r="R157" s="217"/>
      <c r="S157" s="220">
        <v>102.56</v>
      </c>
      <c r="T157" s="217"/>
      <c r="U157" s="220">
        <f t="shared" si="2"/>
        <v>507212.1</v>
      </c>
    </row>
    <row r="158" spans="1:21" x14ac:dyDescent="0.25">
      <c r="A158" s="217"/>
      <c r="B158" s="217"/>
      <c r="C158" s="217"/>
      <c r="D158" s="217"/>
      <c r="E158" s="217" t="s">
        <v>418</v>
      </c>
      <c r="F158" s="217"/>
      <c r="G158" s="218">
        <v>43056</v>
      </c>
      <c r="H158" s="217"/>
      <c r="I158" s="217" t="s">
        <v>509</v>
      </c>
      <c r="J158" s="217"/>
      <c r="K158" s="217" t="s">
        <v>391</v>
      </c>
      <c r="L158" s="217"/>
      <c r="M158" s="217"/>
      <c r="N158" s="217"/>
      <c r="O158" s="219"/>
      <c r="P158" s="217"/>
      <c r="Q158" s="217" t="s">
        <v>416</v>
      </c>
      <c r="R158" s="217"/>
      <c r="S158" s="220">
        <v>-10007.68</v>
      </c>
      <c r="T158" s="217"/>
      <c r="U158" s="220">
        <f t="shared" si="2"/>
        <v>497204.42</v>
      </c>
    </row>
    <row r="159" spans="1:21" x14ac:dyDescent="0.25">
      <c r="A159" s="217"/>
      <c r="B159" s="217"/>
      <c r="C159" s="217"/>
      <c r="D159" s="217"/>
      <c r="E159" s="217" t="s">
        <v>396</v>
      </c>
      <c r="F159" s="217"/>
      <c r="G159" s="218">
        <v>43056</v>
      </c>
      <c r="H159" s="217"/>
      <c r="I159" s="217" t="s">
        <v>510</v>
      </c>
      <c r="J159" s="217"/>
      <c r="K159" s="217" t="s">
        <v>391</v>
      </c>
      <c r="L159" s="217"/>
      <c r="M159" s="217"/>
      <c r="N159" s="217"/>
      <c r="O159" s="219"/>
      <c r="P159" s="217"/>
      <c r="Q159" s="217" t="s">
        <v>416</v>
      </c>
      <c r="R159" s="217"/>
      <c r="S159" s="220">
        <v>126</v>
      </c>
      <c r="T159" s="217"/>
      <c r="U159" s="220">
        <f t="shared" si="2"/>
        <v>497330.42</v>
      </c>
    </row>
    <row r="160" spans="1:21" x14ac:dyDescent="0.25">
      <c r="A160" s="217"/>
      <c r="B160" s="217"/>
      <c r="C160" s="217"/>
      <c r="D160" s="217"/>
      <c r="E160" s="217" t="s">
        <v>418</v>
      </c>
      <c r="F160" s="217"/>
      <c r="G160" s="218">
        <v>43056</v>
      </c>
      <c r="H160" s="217"/>
      <c r="I160" s="217" t="s">
        <v>510</v>
      </c>
      <c r="J160" s="217"/>
      <c r="K160" s="217" t="s">
        <v>391</v>
      </c>
      <c r="L160" s="217"/>
      <c r="M160" s="217"/>
      <c r="N160" s="217"/>
      <c r="O160" s="219"/>
      <c r="P160" s="217"/>
      <c r="Q160" s="217" t="s">
        <v>416</v>
      </c>
      <c r="R160" s="217"/>
      <c r="S160" s="220">
        <v>-2130</v>
      </c>
      <c r="T160" s="217"/>
      <c r="U160" s="220">
        <f t="shared" si="2"/>
        <v>495200.42</v>
      </c>
    </row>
    <row r="161" spans="1:21" x14ac:dyDescent="0.25">
      <c r="A161" s="217"/>
      <c r="B161" s="217"/>
      <c r="C161" s="217"/>
      <c r="D161" s="217"/>
      <c r="E161" s="217" t="s">
        <v>396</v>
      </c>
      <c r="F161" s="217"/>
      <c r="G161" s="218">
        <v>43088</v>
      </c>
      <c r="H161" s="217"/>
      <c r="I161" s="217" t="s">
        <v>511</v>
      </c>
      <c r="J161" s="217"/>
      <c r="K161" s="217" t="s">
        <v>391</v>
      </c>
      <c r="L161" s="217"/>
      <c r="M161" s="217"/>
      <c r="N161" s="217"/>
      <c r="O161" s="219"/>
      <c r="P161" s="217"/>
      <c r="Q161" s="217" t="s">
        <v>416</v>
      </c>
      <c r="R161" s="217"/>
      <c r="S161" s="220">
        <v>4103</v>
      </c>
      <c r="T161" s="217"/>
      <c r="U161" s="220">
        <f t="shared" si="2"/>
        <v>499303.42</v>
      </c>
    </row>
    <row r="162" spans="1:21" x14ac:dyDescent="0.25">
      <c r="A162" s="217"/>
      <c r="B162" s="217"/>
      <c r="C162" s="217"/>
      <c r="D162" s="217"/>
      <c r="E162" s="217" t="s">
        <v>396</v>
      </c>
      <c r="F162" s="217"/>
      <c r="G162" s="218">
        <v>43088</v>
      </c>
      <c r="H162" s="217"/>
      <c r="I162" s="217" t="s">
        <v>512</v>
      </c>
      <c r="J162" s="217"/>
      <c r="K162" s="217" t="s">
        <v>391</v>
      </c>
      <c r="L162" s="217"/>
      <c r="M162" s="217"/>
      <c r="N162" s="217"/>
      <c r="O162" s="219"/>
      <c r="P162" s="217"/>
      <c r="Q162" s="217" t="s">
        <v>416</v>
      </c>
      <c r="R162" s="217"/>
      <c r="S162" s="220">
        <v>676.4</v>
      </c>
      <c r="T162" s="217"/>
      <c r="U162" s="220">
        <f t="shared" si="2"/>
        <v>499979.82</v>
      </c>
    </row>
    <row r="163" spans="1:21" x14ac:dyDescent="0.25">
      <c r="A163" s="217"/>
      <c r="B163" s="217"/>
      <c r="C163" s="217"/>
      <c r="D163" s="217"/>
      <c r="E163" s="217" t="s">
        <v>396</v>
      </c>
      <c r="F163" s="217"/>
      <c r="G163" s="218">
        <v>43088</v>
      </c>
      <c r="H163" s="217"/>
      <c r="I163" s="217" t="s">
        <v>513</v>
      </c>
      <c r="J163" s="217"/>
      <c r="K163" s="217" t="s">
        <v>391</v>
      </c>
      <c r="L163" s="217"/>
      <c r="M163" s="217"/>
      <c r="N163" s="217"/>
      <c r="O163" s="219"/>
      <c r="P163" s="217"/>
      <c r="Q163" s="217" t="s">
        <v>416</v>
      </c>
      <c r="R163" s="217"/>
      <c r="S163" s="220">
        <v>126</v>
      </c>
      <c r="T163" s="217"/>
      <c r="U163" s="220">
        <f t="shared" si="2"/>
        <v>500105.82</v>
      </c>
    </row>
    <row r="164" spans="1:21" x14ac:dyDescent="0.25">
      <c r="A164" s="217"/>
      <c r="B164" s="217"/>
      <c r="C164" s="217"/>
      <c r="D164" s="217"/>
      <c r="E164" s="217" t="s">
        <v>396</v>
      </c>
      <c r="F164" s="217"/>
      <c r="G164" s="218">
        <v>43119</v>
      </c>
      <c r="H164" s="217"/>
      <c r="I164" s="217" t="s">
        <v>514</v>
      </c>
      <c r="J164" s="217"/>
      <c r="K164" s="217" t="s">
        <v>391</v>
      </c>
      <c r="L164" s="217"/>
      <c r="M164" s="217"/>
      <c r="N164" s="217"/>
      <c r="O164" s="219"/>
      <c r="P164" s="217"/>
      <c r="Q164" s="217" t="s">
        <v>416</v>
      </c>
      <c r="R164" s="217"/>
      <c r="S164" s="220">
        <v>4249</v>
      </c>
      <c r="T164" s="217"/>
      <c r="U164" s="220">
        <f t="shared" si="2"/>
        <v>504354.82</v>
      </c>
    </row>
    <row r="165" spans="1:21" x14ac:dyDescent="0.25">
      <c r="A165" s="217"/>
      <c r="B165" s="217"/>
      <c r="C165" s="217"/>
      <c r="D165" s="217"/>
      <c r="E165" s="217" t="s">
        <v>396</v>
      </c>
      <c r="F165" s="217"/>
      <c r="G165" s="218">
        <v>43119</v>
      </c>
      <c r="H165" s="217"/>
      <c r="I165" s="217" t="s">
        <v>515</v>
      </c>
      <c r="J165" s="217"/>
      <c r="K165" s="217" t="s">
        <v>391</v>
      </c>
      <c r="L165" s="217"/>
      <c r="M165" s="217"/>
      <c r="N165" s="217"/>
      <c r="O165" s="219"/>
      <c r="P165" s="217"/>
      <c r="Q165" s="217" t="s">
        <v>416</v>
      </c>
      <c r="R165" s="217"/>
      <c r="S165" s="220">
        <v>1523.37</v>
      </c>
      <c r="T165" s="217"/>
      <c r="U165" s="220">
        <f t="shared" si="2"/>
        <v>505878.19</v>
      </c>
    </row>
    <row r="166" spans="1:21" x14ac:dyDescent="0.25">
      <c r="A166" s="217"/>
      <c r="B166" s="217"/>
      <c r="C166" s="217"/>
      <c r="D166" s="217"/>
      <c r="E166" s="217" t="s">
        <v>396</v>
      </c>
      <c r="F166" s="217"/>
      <c r="G166" s="218">
        <v>43119</v>
      </c>
      <c r="H166" s="217"/>
      <c r="I166" s="217" t="s">
        <v>516</v>
      </c>
      <c r="J166" s="217"/>
      <c r="K166" s="217" t="s">
        <v>391</v>
      </c>
      <c r="L166" s="217"/>
      <c r="M166" s="217"/>
      <c r="N166" s="217"/>
      <c r="O166" s="219"/>
      <c r="P166" s="217"/>
      <c r="Q166" s="217" t="s">
        <v>416</v>
      </c>
      <c r="R166" s="217"/>
      <c r="S166" s="220">
        <v>174</v>
      </c>
      <c r="T166" s="217"/>
      <c r="U166" s="220">
        <f t="shared" si="2"/>
        <v>506052.19</v>
      </c>
    </row>
    <row r="167" spans="1:21" x14ac:dyDescent="0.25">
      <c r="A167" s="217"/>
      <c r="B167" s="217"/>
      <c r="C167" s="217"/>
      <c r="D167" s="217"/>
      <c r="E167" s="217" t="s">
        <v>396</v>
      </c>
      <c r="F167" s="217"/>
      <c r="G167" s="218">
        <v>43148</v>
      </c>
      <c r="H167" s="217"/>
      <c r="I167" s="217" t="s">
        <v>517</v>
      </c>
      <c r="J167" s="217"/>
      <c r="K167" s="217" t="s">
        <v>391</v>
      </c>
      <c r="L167" s="217"/>
      <c r="M167" s="217"/>
      <c r="N167" s="217"/>
      <c r="O167" s="219"/>
      <c r="P167" s="217"/>
      <c r="Q167" s="217" t="s">
        <v>416</v>
      </c>
      <c r="R167" s="217"/>
      <c r="S167" s="220">
        <v>807</v>
      </c>
      <c r="T167" s="217"/>
      <c r="U167" s="220">
        <f t="shared" si="2"/>
        <v>506859.19</v>
      </c>
    </row>
    <row r="168" spans="1:21" x14ac:dyDescent="0.25">
      <c r="A168" s="217"/>
      <c r="B168" s="217"/>
      <c r="C168" s="217"/>
      <c r="D168" s="217"/>
      <c r="E168" s="217" t="s">
        <v>396</v>
      </c>
      <c r="F168" s="217"/>
      <c r="G168" s="218">
        <v>43148</v>
      </c>
      <c r="H168" s="217"/>
      <c r="I168" s="217" t="s">
        <v>518</v>
      </c>
      <c r="J168" s="217"/>
      <c r="K168" s="217" t="s">
        <v>391</v>
      </c>
      <c r="L168" s="217"/>
      <c r="M168" s="217"/>
      <c r="N168" s="217"/>
      <c r="O168" s="219"/>
      <c r="P168" s="217"/>
      <c r="Q168" s="217" t="s">
        <v>416</v>
      </c>
      <c r="R168" s="217"/>
      <c r="S168" s="220">
        <v>966.56</v>
      </c>
      <c r="T168" s="217"/>
      <c r="U168" s="220">
        <f t="shared" si="2"/>
        <v>507825.75</v>
      </c>
    </row>
    <row r="169" spans="1:21" x14ac:dyDescent="0.25">
      <c r="A169" s="217"/>
      <c r="B169" s="217"/>
      <c r="C169" s="217"/>
      <c r="D169" s="217"/>
      <c r="E169" s="217" t="s">
        <v>396</v>
      </c>
      <c r="F169" s="217"/>
      <c r="G169" s="218">
        <v>43148</v>
      </c>
      <c r="H169" s="217"/>
      <c r="I169" s="217" t="s">
        <v>519</v>
      </c>
      <c r="J169" s="217"/>
      <c r="K169" s="217" t="s">
        <v>391</v>
      </c>
      <c r="L169" s="217"/>
      <c r="M169" s="217"/>
      <c r="N169" s="217"/>
      <c r="O169" s="219"/>
      <c r="P169" s="217"/>
      <c r="Q169" s="217" t="s">
        <v>416</v>
      </c>
      <c r="R169" s="217"/>
      <c r="S169" s="220">
        <v>566</v>
      </c>
      <c r="T169" s="217"/>
      <c r="U169" s="220">
        <f t="shared" si="2"/>
        <v>508391.75</v>
      </c>
    </row>
    <row r="170" spans="1:21" x14ac:dyDescent="0.25">
      <c r="A170" s="217"/>
      <c r="B170" s="217"/>
      <c r="C170" s="217"/>
      <c r="D170" s="217"/>
      <c r="E170" s="217" t="s">
        <v>396</v>
      </c>
      <c r="F170" s="217"/>
      <c r="G170" s="218">
        <v>43179</v>
      </c>
      <c r="H170" s="217"/>
      <c r="I170" s="217" t="s">
        <v>520</v>
      </c>
      <c r="J170" s="217"/>
      <c r="K170" s="217" t="s">
        <v>391</v>
      </c>
      <c r="L170" s="217"/>
      <c r="M170" s="217"/>
      <c r="N170" s="217"/>
      <c r="O170" s="219"/>
      <c r="P170" s="217"/>
      <c r="Q170" s="217" t="s">
        <v>416</v>
      </c>
      <c r="R170" s="217"/>
      <c r="S170" s="220">
        <v>3151</v>
      </c>
      <c r="T170" s="217"/>
      <c r="U170" s="220">
        <f t="shared" si="2"/>
        <v>511542.75</v>
      </c>
    </row>
    <row r="171" spans="1:21" x14ac:dyDescent="0.25">
      <c r="A171" s="217"/>
      <c r="B171" s="217"/>
      <c r="C171" s="217"/>
      <c r="D171" s="217"/>
      <c r="E171" s="217" t="s">
        <v>396</v>
      </c>
      <c r="F171" s="217"/>
      <c r="G171" s="218">
        <v>43179</v>
      </c>
      <c r="H171" s="217"/>
      <c r="I171" s="217" t="s">
        <v>521</v>
      </c>
      <c r="J171" s="217"/>
      <c r="K171" s="217" t="s">
        <v>391</v>
      </c>
      <c r="L171" s="217"/>
      <c r="M171" s="217"/>
      <c r="N171" s="217"/>
      <c r="O171" s="219"/>
      <c r="P171" s="217"/>
      <c r="Q171" s="217" t="s">
        <v>416</v>
      </c>
      <c r="R171" s="217"/>
      <c r="S171" s="220">
        <v>3048.04</v>
      </c>
      <c r="T171" s="217"/>
      <c r="U171" s="220">
        <f t="shared" si="2"/>
        <v>514590.79</v>
      </c>
    </row>
    <row r="172" spans="1:21" x14ac:dyDescent="0.25">
      <c r="A172" s="217"/>
      <c r="B172" s="217"/>
      <c r="C172" s="217"/>
      <c r="D172" s="217"/>
      <c r="E172" s="217" t="s">
        <v>396</v>
      </c>
      <c r="F172" s="217"/>
      <c r="G172" s="218">
        <v>43179</v>
      </c>
      <c r="H172" s="217"/>
      <c r="I172" s="217" t="s">
        <v>522</v>
      </c>
      <c r="J172" s="217"/>
      <c r="K172" s="217" t="s">
        <v>391</v>
      </c>
      <c r="L172" s="217"/>
      <c r="M172" s="217"/>
      <c r="N172" s="217"/>
      <c r="O172" s="219"/>
      <c r="P172" s="217"/>
      <c r="Q172" s="217" t="s">
        <v>416</v>
      </c>
      <c r="R172" s="217"/>
      <c r="S172" s="220">
        <v>1745</v>
      </c>
      <c r="T172" s="217"/>
      <c r="U172" s="220">
        <f t="shared" si="2"/>
        <v>516335.79</v>
      </c>
    </row>
    <row r="173" spans="1:21" x14ac:dyDescent="0.25">
      <c r="A173" s="217"/>
      <c r="B173" s="217"/>
      <c r="C173" s="217"/>
      <c r="D173" s="217"/>
      <c r="E173" s="217" t="s">
        <v>396</v>
      </c>
      <c r="F173" s="217"/>
      <c r="G173" s="218">
        <v>43216</v>
      </c>
      <c r="H173" s="217"/>
      <c r="I173" s="217" t="s">
        <v>523</v>
      </c>
      <c r="J173" s="217"/>
      <c r="K173" s="217" t="s">
        <v>391</v>
      </c>
      <c r="L173" s="217"/>
      <c r="M173" s="217"/>
      <c r="N173" s="217"/>
      <c r="O173" s="219"/>
      <c r="P173" s="217"/>
      <c r="Q173" s="217" t="s">
        <v>416</v>
      </c>
      <c r="R173" s="217"/>
      <c r="S173" s="220">
        <v>9873</v>
      </c>
      <c r="T173" s="217"/>
      <c r="U173" s="220">
        <f t="shared" si="2"/>
        <v>526208.79</v>
      </c>
    </row>
    <row r="174" spans="1:21" x14ac:dyDescent="0.25">
      <c r="A174" s="217"/>
      <c r="B174" s="217"/>
      <c r="C174" s="217"/>
      <c r="D174" s="217"/>
      <c r="E174" s="217" t="s">
        <v>396</v>
      </c>
      <c r="F174" s="217"/>
      <c r="G174" s="218">
        <v>43216</v>
      </c>
      <c r="H174" s="217"/>
      <c r="I174" s="217" t="s">
        <v>524</v>
      </c>
      <c r="J174" s="217"/>
      <c r="K174" s="217" t="s">
        <v>391</v>
      </c>
      <c r="L174" s="217"/>
      <c r="M174" s="217"/>
      <c r="N174" s="217"/>
      <c r="O174" s="219"/>
      <c r="P174" s="217"/>
      <c r="Q174" s="217" t="s">
        <v>416</v>
      </c>
      <c r="R174" s="217"/>
      <c r="S174" s="220">
        <v>6870.81</v>
      </c>
      <c r="T174" s="217"/>
      <c r="U174" s="220">
        <f t="shared" si="2"/>
        <v>533079.6</v>
      </c>
    </row>
    <row r="175" spans="1:21" x14ac:dyDescent="0.25">
      <c r="A175" s="217"/>
      <c r="B175" s="217"/>
      <c r="C175" s="217"/>
      <c r="D175" s="217"/>
      <c r="E175" s="217" t="s">
        <v>396</v>
      </c>
      <c r="F175" s="217"/>
      <c r="G175" s="218">
        <v>43216</v>
      </c>
      <c r="H175" s="217"/>
      <c r="I175" s="217" t="s">
        <v>525</v>
      </c>
      <c r="J175" s="217"/>
      <c r="K175" s="217" t="s">
        <v>391</v>
      </c>
      <c r="L175" s="217"/>
      <c r="M175" s="217"/>
      <c r="N175" s="217"/>
      <c r="O175" s="219"/>
      <c r="P175" s="217"/>
      <c r="Q175" s="217" t="s">
        <v>416</v>
      </c>
      <c r="R175" s="217"/>
      <c r="S175" s="220">
        <v>6031</v>
      </c>
      <c r="T175" s="217"/>
      <c r="U175" s="220">
        <f t="shared" si="2"/>
        <v>539110.6</v>
      </c>
    </row>
    <row r="176" spans="1:21" x14ac:dyDescent="0.25">
      <c r="A176" s="217"/>
      <c r="B176" s="217"/>
      <c r="C176" s="217"/>
      <c r="D176" s="217"/>
      <c r="E176" s="217" t="s">
        <v>396</v>
      </c>
      <c r="F176" s="217"/>
      <c r="G176" s="218">
        <v>43249</v>
      </c>
      <c r="H176" s="217"/>
      <c r="I176" s="217" t="s">
        <v>526</v>
      </c>
      <c r="J176" s="217"/>
      <c r="K176" s="217" t="s">
        <v>391</v>
      </c>
      <c r="L176" s="217"/>
      <c r="M176" s="217"/>
      <c r="N176" s="217"/>
      <c r="O176" s="219"/>
      <c r="P176" s="217"/>
      <c r="Q176" s="217" t="s">
        <v>416</v>
      </c>
      <c r="R176" s="217"/>
      <c r="S176" s="220">
        <v>1446</v>
      </c>
      <c r="T176" s="217"/>
      <c r="U176" s="220">
        <f t="shared" si="2"/>
        <v>540556.6</v>
      </c>
    </row>
    <row r="177" spans="1:21" x14ac:dyDescent="0.25">
      <c r="A177" s="217"/>
      <c r="B177" s="217"/>
      <c r="C177" s="217"/>
      <c r="D177" s="217"/>
      <c r="E177" s="217" t="s">
        <v>396</v>
      </c>
      <c r="F177" s="217"/>
      <c r="G177" s="218">
        <v>43249</v>
      </c>
      <c r="H177" s="217"/>
      <c r="I177" s="217" t="s">
        <v>527</v>
      </c>
      <c r="J177" s="217"/>
      <c r="K177" s="217" t="s">
        <v>391</v>
      </c>
      <c r="L177" s="217"/>
      <c r="M177" s="217"/>
      <c r="N177" s="217"/>
      <c r="O177" s="219"/>
      <c r="P177" s="217"/>
      <c r="Q177" s="217" t="s">
        <v>416</v>
      </c>
      <c r="R177" s="217"/>
      <c r="S177" s="220">
        <v>2125</v>
      </c>
      <c r="T177" s="217"/>
      <c r="U177" s="220">
        <f t="shared" si="2"/>
        <v>542681.59999999998</v>
      </c>
    </row>
    <row r="178" spans="1:21" x14ac:dyDescent="0.25">
      <c r="A178" s="217"/>
      <c r="B178" s="217"/>
      <c r="C178" s="217"/>
      <c r="D178" s="217"/>
      <c r="E178" s="217" t="s">
        <v>396</v>
      </c>
      <c r="F178" s="217"/>
      <c r="G178" s="218">
        <v>43249</v>
      </c>
      <c r="H178" s="217"/>
      <c r="I178" s="217" t="s">
        <v>528</v>
      </c>
      <c r="J178" s="217"/>
      <c r="K178" s="217" t="s">
        <v>391</v>
      </c>
      <c r="L178" s="217"/>
      <c r="M178" s="217"/>
      <c r="N178" s="217"/>
      <c r="O178" s="219"/>
      <c r="P178" s="217"/>
      <c r="Q178" s="217" t="s">
        <v>416</v>
      </c>
      <c r="R178" s="217"/>
      <c r="S178" s="220">
        <v>1569.43</v>
      </c>
      <c r="T178" s="217"/>
      <c r="U178" s="220">
        <f t="shared" si="2"/>
        <v>544251.03</v>
      </c>
    </row>
    <row r="179" spans="1:21" x14ac:dyDescent="0.25">
      <c r="A179" s="217"/>
      <c r="B179" s="217"/>
      <c r="C179" s="217"/>
      <c r="D179" s="217"/>
      <c r="E179" s="217" t="s">
        <v>396</v>
      </c>
      <c r="F179" s="217"/>
      <c r="G179" s="218">
        <v>43279</v>
      </c>
      <c r="H179" s="217"/>
      <c r="I179" s="217" t="s">
        <v>529</v>
      </c>
      <c r="J179" s="217"/>
      <c r="K179" s="217" t="s">
        <v>391</v>
      </c>
      <c r="L179" s="217"/>
      <c r="M179" s="217"/>
      <c r="N179" s="217"/>
      <c r="O179" s="219"/>
      <c r="P179" s="217"/>
      <c r="Q179" s="217" t="s">
        <v>416</v>
      </c>
      <c r="R179" s="217"/>
      <c r="S179" s="220">
        <v>127</v>
      </c>
      <c r="T179" s="217"/>
      <c r="U179" s="220">
        <f t="shared" si="2"/>
        <v>544378.03</v>
      </c>
    </row>
    <row r="180" spans="1:21" x14ac:dyDescent="0.25">
      <c r="A180" s="217"/>
      <c r="B180" s="217"/>
      <c r="C180" s="217"/>
      <c r="D180" s="217"/>
      <c r="E180" s="217" t="s">
        <v>396</v>
      </c>
      <c r="F180" s="217"/>
      <c r="G180" s="218">
        <v>43279</v>
      </c>
      <c r="H180" s="217"/>
      <c r="I180" s="217" t="s">
        <v>530</v>
      </c>
      <c r="J180" s="217"/>
      <c r="K180" s="217" t="s">
        <v>391</v>
      </c>
      <c r="L180" s="217"/>
      <c r="M180" s="217"/>
      <c r="N180" s="217"/>
      <c r="O180" s="219"/>
      <c r="P180" s="217"/>
      <c r="Q180" s="217" t="s">
        <v>416</v>
      </c>
      <c r="R180" s="217"/>
      <c r="S180" s="220">
        <v>102.56</v>
      </c>
      <c r="T180" s="217"/>
      <c r="U180" s="220">
        <f t="shared" si="2"/>
        <v>544480.59</v>
      </c>
    </row>
    <row r="181" spans="1:21" x14ac:dyDescent="0.25">
      <c r="A181" s="217"/>
      <c r="B181" s="217"/>
      <c r="C181" s="217"/>
      <c r="D181" s="217"/>
      <c r="E181" s="217" t="s">
        <v>396</v>
      </c>
      <c r="F181" s="217"/>
      <c r="G181" s="218">
        <v>43279</v>
      </c>
      <c r="H181" s="217"/>
      <c r="I181" s="217" t="s">
        <v>531</v>
      </c>
      <c r="J181" s="217"/>
      <c r="K181" s="217" t="s">
        <v>391</v>
      </c>
      <c r="L181" s="217"/>
      <c r="M181" s="217"/>
      <c r="N181" s="217"/>
      <c r="O181" s="219"/>
      <c r="P181" s="217"/>
      <c r="Q181" s="217" t="s">
        <v>416</v>
      </c>
      <c r="R181" s="217"/>
      <c r="S181" s="220">
        <v>126</v>
      </c>
      <c r="T181" s="217"/>
      <c r="U181" s="220">
        <f t="shared" si="2"/>
        <v>544606.59</v>
      </c>
    </row>
    <row r="182" spans="1:21" x14ac:dyDescent="0.25">
      <c r="A182" s="217"/>
      <c r="B182" s="217"/>
      <c r="C182" s="217"/>
      <c r="D182" s="217"/>
      <c r="E182" s="217" t="s">
        <v>396</v>
      </c>
      <c r="F182" s="217"/>
      <c r="G182" s="218">
        <v>43308</v>
      </c>
      <c r="H182" s="217"/>
      <c r="I182" s="217" t="s">
        <v>532</v>
      </c>
      <c r="J182" s="217"/>
      <c r="K182" s="217" t="s">
        <v>391</v>
      </c>
      <c r="L182" s="217"/>
      <c r="M182" s="217"/>
      <c r="N182" s="217"/>
      <c r="O182" s="219"/>
      <c r="P182" s="217"/>
      <c r="Q182" s="217" t="s">
        <v>416</v>
      </c>
      <c r="R182" s="217"/>
      <c r="S182" s="220">
        <v>134</v>
      </c>
      <c r="T182" s="217"/>
      <c r="U182" s="220">
        <f t="shared" si="2"/>
        <v>544740.59</v>
      </c>
    </row>
    <row r="183" spans="1:21" x14ac:dyDescent="0.25">
      <c r="A183" s="217"/>
      <c r="B183" s="217"/>
      <c r="C183" s="217"/>
      <c r="D183" s="217"/>
      <c r="E183" s="217" t="s">
        <v>396</v>
      </c>
      <c r="F183" s="217"/>
      <c r="G183" s="218">
        <v>43308</v>
      </c>
      <c r="H183" s="217"/>
      <c r="I183" s="217" t="s">
        <v>533</v>
      </c>
      <c r="J183" s="217"/>
      <c r="K183" s="217" t="s">
        <v>391</v>
      </c>
      <c r="L183" s="217"/>
      <c r="M183" s="217"/>
      <c r="N183" s="217"/>
      <c r="O183" s="219"/>
      <c r="P183" s="217"/>
      <c r="Q183" s="217" t="s">
        <v>416</v>
      </c>
      <c r="R183" s="217"/>
      <c r="S183" s="220">
        <v>102.56</v>
      </c>
      <c r="T183" s="217"/>
      <c r="U183" s="220">
        <f t="shared" si="2"/>
        <v>544843.15</v>
      </c>
    </row>
    <row r="184" spans="1:21" x14ac:dyDescent="0.25">
      <c r="A184" s="217"/>
      <c r="B184" s="217"/>
      <c r="C184" s="217"/>
      <c r="D184" s="217"/>
      <c r="E184" s="217" t="s">
        <v>396</v>
      </c>
      <c r="F184" s="217"/>
      <c r="G184" s="218">
        <v>43308</v>
      </c>
      <c r="H184" s="217"/>
      <c r="I184" s="217" t="s">
        <v>534</v>
      </c>
      <c r="J184" s="217"/>
      <c r="K184" s="217" t="s">
        <v>391</v>
      </c>
      <c r="L184" s="217"/>
      <c r="M184" s="217"/>
      <c r="N184" s="217"/>
      <c r="O184" s="219"/>
      <c r="P184" s="217"/>
      <c r="Q184" s="217" t="s">
        <v>416</v>
      </c>
      <c r="R184" s="217"/>
      <c r="S184" s="220">
        <v>126</v>
      </c>
      <c r="T184" s="217"/>
      <c r="U184" s="220">
        <f t="shared" si="2"/>
        <v>544969.15</v>
      </c>
    </row>
    <row r="185" spans="1:21" x14ac:dyDescent="0.25">
      <c r="A185" s="217"/>
      <c r="B185" s="217"/>
      <c r="C185" s="217"/>
      <c r="D185" s="217"/>
      <c r="E185" s="217" t="s">
        <v>396</v>
      </c>
      <c r="F185" s="217"/>
      <c r="G185" s="218">
        <v>43342</v>
      </c>
      <c r="H185" s="217"/>
      <c r="I185" s="217" t="s">
        <v>535</v>
      </c>
      <c r="J185" s="217"/>
      <c r="K185" s="217" t="s">
        <v>391</v>
      </c>
      <c r="L185" s="217"/>
      <c r="M185" s="217"/>
      <c r="N185" s="217"/>
      <c r="O185" s="219"/>
      <c r="P185" s="217"/>
      <c r="Q185" s="217" t="s">
        <v>416</v>
      </c>
      <c r="R185" s="217"/>
      <c r="S185" s="220">
        <v>127</v>
      </c>
      <c r="T185" s="217"/>
      <c r="U185" s="220">
        <f t="shared" si="2"/>
        <v>545096.15</v>
      </c>
    </row>
    <row r="186" spans="1:21" x14ac:dyDescent="0.25">
      <c r="A186" s="217"/>
      <c r="B186" s="217"/>
      <c r="C186" s="217"/>
      <c r="D186" s="217"/>
      <c r="E186" s="217" t="s">
        <v>396</v>
      </c>
      <c r="F186" s="217"/>
      <c r="G186" s="218">
        <v>43342</v>
      </c>
      <c r="H186" s="217"/>
      <c r="I186" s="217" t="s">
        <v>536</v>
      </c>
      <c r="J186" s="217"/>
      <c r="K186" s="217" t="s">
        <v>391</v>
      </c>
      <c r="L186" s="217"/>
      <c r="M186" s="217"/>
      <c r="N186" s="217"/>
      <c r="O186" s="219"/>
      <c r="P186" s="217"/>
      <c r="Q186" s="217" t="s">
        <v>416</v>
      </c>
      <c r="R186" s="217"/>
      <c r="S186" s="220">
        <v>102.56</v>
      </c>
      <c r="T186" s="217"/>
      <c r="U186" s="220">
        <f t="shared" si="2"/>
        <v>545198.71</v>
      </c>
    </row>
    <row r="187" spans="1:21" x14ac:dyDescent="0.25">
      <c r="A187" s="217"/>
      <c r="B187" s="217"/>
      <c r="C187" s="217"/>
      <c r="D187" s="217"/>
      <c r="E187" s="217" t="s">
        <v>396</v>
      </c>
      <c r="F187" s="217"/>
      <c r="G187" s="218">
        <v>43342</v>
      </c>
      <c r="H187" s="217"/>
      <c r="I187" s="217" t="s">
        <v>537</v>
      </c>
      <c r="J187" s="217"/>
      <c r="K187" s="217" t="s">
        <v>391</v>
      </c>
      <c r="L187" s="217"/>
      <c r="M187" s="217"/>
      <c r="N187" s="217"/>
      <c r="O187" s="219"/>
      <c r="P187" s="217"/>
      <c r="Q187" s="217" t="s">
        <v>416</v>
      </c>
      <c r="R187" s="217"/>
      <c r="S187" s="220">
        <v>126</v>
      </c>
      <c r="T187" s="217"/>
      <c r="U187" s="220">
        <f t="shared" si="2"/>
        <v>545324.71</v>
      </c>
    </row>
    <row r="188" spans="1:21" x14ac:dyDescent="0.25">
      <c r="A188" s="217"/>
      <c r="B188" s="217"/>
      <c r="C188" s="217"/>
      <c r="D188" s="217"/>
      <c r="E188" s="217" t="s">
        <v>396</v>
      </c>
      <c r="F188" s="217"/>
      <c r="G188" s="218">
        <v>43371</v>
      </c>
      <c r="H188" s="217"/>
      <c r="I188" s="217" t="s">
        <v>538</v>
      </c>
      <c r="J188" s="217"/>
      <c r="K188" s="217" t="s">
        <v>391</v>
      </c>
      <c r="L188" s="217"/>
      <c r="M188" s="217"/>
      <c r="N188" s="217"/>
      <c r="O188" s="219"/>
      <c r="P188" s="217"/>
      <c r="Q188" s="217" t="s">
        <v>416</v>
      </c>
      <c r="R188" s="217"/>
      <c r="S188" s="220">
        <v>127</v>
      </c>
      <c r="T188" s="217"/>
      <c r="U188" s="220">
        <f t="shared" si="2"/>
        <v>545451.71</v>
      </c>
    </row>
    <row r="189" spans="1:21" x14ac:dyDescent="0.25">
      <c r="A189" s="217"/>
      <c r="B189" s="217"/>
      <c r="C189" s="217"/>
      <c r="D189" s="217"/>
      <c r="E189" s="217" t="s">
        <v>396</v>
      </c>
      <c r="F189" s="217"/>
      <c r="G189" s="218">
        <v>43371</v>
      </c>
      <c r="H189" s="217"/>
      <c r="I189" s="217" t="s">
        <v>539</v>
      </c>
      <c r="J189" s="217"/>
      <c r="K189" s="217" t="s">
        <v>391</v>
      </c>
      <c r="L189" s="217"/>
      <c r="M189" s="217"/>
      <c r="N189" s="217"/>
      <c r="O189" s="219"/>
      <c r="P189" s="217"/>
      <c r="Q189" s="217" t="s">
        <v>416</v>
      </c>
      <c r="R189" s="217"/>
      <c r="S189" s="220">
        <v>102.56</v>
      </c>
      <c r="T189" s="217"/>
      <c r="U189" s="220">
        <f t="shared" si="2"/>
        <v>545554.27</v>
      </c>
    </row>
    <row r="190" spans="1:21" x14ac:dyDescent="0.25">
      <c r="A190" s="217"/>
      <c r="B190" s="217"/>
      <c r="C190" s="217"/>
      <c r="D190" s="217"/>
      <c r="E190" s="217" t="s">
        <v>396</v>
      </c>
      <c r="F190" s="217"/>
      <c r="G190" s="218">
        <v>43371</v>
      </c>
      <c r="H190" s="217"/>
      <c r="I190" s="217" t="s">
        <v>408</v>
      </c>
      <c r="J190" s="217"/>
      <c r="K190" s="217" t="s">
        <v>391</v>
      </c>
      <c r="L190" s="217"/>
      <c r="M190" s="217"/>
      <c r="N190" s="217"/>
      <c r="O190" s="219"/>
      <c r="P190" s="217"/>
      <c r="Q190" s="217" t="s">
        <v>416</v>
      </c>
      <c r="R190" s="217"/>
      <c r="S190" s="220">
        <v>126</v>
      </c>
      <c r="T190" s="217"/>
      <c r="U190" s="220">
        <f t="shared" si="2"/>
        <v>545680.27</v>
      </c>
    </row>
    <row r="191" spans="1:21" x14ac:dyDescent="0.25">
      <c r="A191" s="217"/>
      <c r="B191" s="217"/>
      <c r="C191" s="217"/>
      <c r="D191" s="217"/>
      <c r="E191" s="217" t="s">
        <v>396</v>
      </c>
      <c r="F191" s="217"/>
      <c r="G191" s="218">
        <v>43400</v>
      </c>
      <c r="H191" s="217"/>
      <c r="I191" s="217" t="s">
        <v>540</v>
      </c>
      <c r="J191" s="217"/>
      <c r="K191" s="217" t="s">
        <v>391</v>
      </c>
      <c r="L191" s="217"/>
      <c r="M191" s="217"/>
      <c r="N191" s="217"/>
      <c r="O191" s="219"/>
      <c r="P191" s="217"/>
      <c r="Q191" s="217" t="s">
        <v>416</v>
      </c>
      <c r="R191" s="217"/>
      <c r="S191" s="220">
        <v>468</v>
      </c>
      <c r="T191" s="217"/>
      <c r="U191" s="220">
        <f t="shared" si="2"/>
        <v>546148.27</v>
      </c>
    </row>
    <row r="192" spans="1:21" x14ac:dyDescent="0.25">
      <c r="A192" s="217"/>
      <c r="B192" s="217"/>
      <c r="C192" s="217"/>
      <c r="D192" s="217"/>
      <c r="E192" s="217" t="s">
        <v>396</v>
      </c>
      <c r="F192" s="217"/>
      <c r="G192" s="218">
        <v>43400</v>
      </c>
      <c r="H192" s="217"/>
      <c r="I192" s="217" t="s">
        <v>541</v>
      </c>
      <c r="J192" s="217"/>
      <c r="K192" s="217" t="s">
        <v>391</v>
      </c>
      <c r="L192" s="217"/>
      <c r="M192" s="217"/>
      <c r="N192" s="217"/>
      <c r="O192" s="219"/>
      <c r="P192" s="217"/>
      <c r="Q192" s="217" t="s">
        <v>416</v>
      </c>
      <c r="R192" s="217"/>
      <c r="S192" s="220">
        <v>474.74</v>
      </c>
      <c r="T192" s="217"/>
      <c r="U192" s="220">
        <f t="shared" si="2"/>
        <v>546623.01</v>
      </c>
    </row>
    <row r="193" spans="1:21" x14ac:dyDescent="0.25">
      <c r="A193" s="217"/>
      <c r="B193" s="217"/>
      <c r="C193" s="217"/>
      <c r="D193" s="217"/>
      <c r="E193" s="217" t="s">
        <v>396</v>
      </c>
      <c r="F193" s="217"/>
      <c r="G193" s="218">
        <v>43400</v>
      </c>
      <c r="H193" s="217"/>
      <c r="I193" s="217" t="s">
        <v>542</v>
      </c>
      <c r="J193" s="217"/>
      <c r="K193" s="217" t="s">
        <v>391</v>
      </c>
      <c r="L193" s="217"/>
      <c r="M193" s="217"/>
      <c r="N193" s="217"/>
      <c r="O193" s="219"/>
      <c r="P193" s="217"/>
      <c r="Q193" s="217" t="s">
        <v>416</v>
      </c>
      <c r="R193" s="217"/>
      <c r="S193" s="220">
        <v>455</v>
      </c>
      <c r="T193" s="217"/>
      <c r="U193" s="220">
        <f t="shared" si="2"/>
        <v>547078.01</v>
      </c>
    </row>
    <row r="194" spans="1:21" x14ac:dyDescent="0.25">
      <c r="A194" s="217"/>
      <c r="B194" s="217"/>
      <c r="C194" s="217"/>
      <c r="D194" s="217"/>
      <c r="E194" s="217" t="s">
        <v>396</v>
      </c>
      <c r="F194" s="217"/>
      <c r="G194" s="218">
        <v>43433</v>
      </c>
      <c r="H194" s="217"/>
      <c r="I194" s="217" t="s">
        <v>543</v>
      </c>
      <c r="J194" s="217"/>
      <c r="K194" s="217" t="s">
        <v>391</v>
      </c>
      <c r="L194" s="217"/>
      <c r="M194" s="217"/>
      <c r="N194" s="217"/>
      <c r="O194" s="219"/>
      <c r="P194" s="217"/>
      <c r="Q194" s="217" t="s">
        <v>416</v>
      </c>
      <c r="R194" s="217"/>
      <c r="S194" s="220">
        <v>1949</v>
      </c>
      <c r="T194" s="217"/>
      <c r="U194" s="220">
        <f t="shared" si="2"/>
        <v>549027.01</v>
      </c>
    </row>
    <row r="195" spans="1:21" x14ac:dyDescent="0.25">
      <c r="A195" s="217"/>
      <c r="B195" s="217"/>
      <c r="C195" s="217"/>
      <c r="D195" s="217"/>
      <c r="E195" s="217" t="s">
        <v>396</v>
      </c>
      <c r="F195" s="217"/>
      <c r="G195" s="218">
        <v>43433</v>
      </c>
      <c r="H195" s="217"/>
      <c r="I195" s="217" t="s">
        <v>544</v>
      </c>
      <c r="J195" s="217"/>
      <c r="K195" s="217" t="s">
        <v>391</v>
      </c>
      <c r="L195" s="217"/>
      <c r="M195" s="217"/>
      <c r="N195" s="217"/>
      <c r="O195" s="219"/>
      <c r="P195" s="217"/>
      <c r="Q195" s="217" t="s">
        <v>416</v>
      </c>
      <c r="R195" s="217"/>
      <c r="S195" s="220">
        <v>1628.52</v>
      </c>
      <c r="T195" s="217"/>
      <c r="U195" s="220">
        <f t="shared" ref="U195:U211" si="3">ROUND(U194+S195,5)</f>
        <v>550655.53</v>
      </c>
    </row>
    <row r="196" spans="1:21" x14ac:dyDescent="0.25">
      <c r="A196" s="217"/>
      <c r="B196" s="217"/>
      <c r="C196" s="217"/>
      <c r="D196" s="217"/>
      <c r="E196" s="217" t="s">
        <v>396</v>
      </c>
      <c r="F196" s="217"/>
      <c r="G196" s="218">
        <v>43433</v>
      </c>
      <c r="H196" s="217"/>
      <c r="I196" s="217" t="s">
        <v>545</v>
      </c>
      <c r="J196" s="217"/>
      <c r="K196" s="217" t="s">
        <v>391</v>
      </c>
      <c r="L196" s="217"/>
      <c r="M196" s="217"/>
      <c r="N196" s="217"/>
      <c r="O196" s="219"/>
      <c r="P196" s="217"/>
      <c r="Q196" s="217" t="s">
        <v>416</v>
      </c>
      <c r="R196" s="217"/>
      <c r="S196" s="220">
        <v>1552</v>
      </c>
      <c r="T196" s="217"/>
      <c r="U196" s="220">
        <f t="shared" si="3"/>
        <v>552207.53</v>
      </c>
    </row>
    <row r="197" spans="1:21" x14ac:dyDescent="0.25">
      <c r="A197" s="217"/>
      <c r="B197" s="217"/>
      <c r="C197" s="217"/>
      <c r="D197" s="217"/>
      <c r="E197" s="217" t="s">
        <v>396</v>
      </c>
      <c r="F197" s="217"/>
      <c r="G197" s="218">
        <v>43463</v>
      </c>
      <c r="H197" s="217"/>
      <c r="I197" s="217" t="s">
        <v>546</v>
      </c>
      <c r="J197" s="217"/>
      <c r="K197" s="217" t="s">
        <v>391</v>
      </c>
      <c r="L197" s="217"/>
      <c r="M197" s="217"/>
      <c r="N197" s="217"/>
      <c r="O197" s="219"/>
      <c r="P197" s="217"/>
      <c r="Q197" s="217" t="s">
        <v>416</v>
      </c>
      <c r="R197" s="217"/>
      <c r="S197" s="220">
        <v>2313</v>
      </c>
      <c r="T197" s="217"/>
      <c r="U197" s="220">
        <f t="shared" si="3"/>
        <v>554520.53</v>
      </c>
    </row>
    <row r="198" spans="1:21" x14ac:dyDescent="0.25">
      <c r="A198" s="217"/>
      <c r="B198" s="217"/>
      <c r="C198" s="217"/>
      <c r="D198" s="217"/>
      <c r="E198" s="217" t="s">
        <v>396</v>
      </c>
      <c r="F198" s="217"/>
      <c r="G198" s="218">
        <v>43463</v>
      </c>
      <c r="H198" s="217"/>
      <c r="I198" s="217" t="s">
        <v>547</v>
      </c>
      <c r="J198" s="217"/>
      <c r="K198" s="217" t="s">
        <v>391</v>
      </c>
      <c r="L198" s="217"/>
      <c r="M198" s="217"/>
      <c r="N198" s="217"/>
      <c r="O198" s="219"/>
      <c r="P198" s="217"/>
      <c r="Q198" s="217" t="s">
        <v>416</v>
      </c>
      <c r="R198" s="217"/>
      <c r="S198" s="220">
        <v>2558.98</v>
      </c>
      <c r="T198" s="217"/>
      <c r="U198" s="220">
        <f t="shared" si="3"/>
        <v>557079.51</v>
      </c>
    </row>
    <row r="199" spans="1:21" x14ac:dyDescent="0.25">
      <c r="A199" s="217"/>
      <c r="B199" s="217"/>
      <c r="C199" s="217"/>
      <c r="D199" s="217"/>
      <c r="E199" s="217" t="s">
        <v>396</v>
      </c>
      <c r="F199" s="217"/>
      <c r="G199" s="218">
        <v>43463</v>
      </c>
      <c r="H199" s="217"/>
      <c r="I199" s="217" t="s">
        <v>545</v>
      </c>
      <c r="J199" s="217"/>
      <c r="K199" s="217" t="s">
        <v>391</v>
      </c>
      <c r="L199" s="217"/>
      <c r="M199" s="217"/>
      <c r="N199" s="217"/>
      <c r="O199" s="219"/>
      <c r="P199" s="217"/>
      <c r="Q199" s="217" t="s">
        <v>416</v>
      </c>
      <c r="R199" s="217"/>
      <c r="S199" s="220">
        <v>905</v>
      </c>
      <c r="T199" s="217"/>
      <c r="U199" s="220">
        <f t="shared" si="3"/>
        <v>557984.51</v>
      </c>
    </row>
    <row r="200" spans="1:21" x14ac:dyDescent="0.25">
      <c r="A200" s="217"/>
      <c r="B200" s="217"/>
      <c r="C200" s="217"/>
      <c r="D200" s="217"/>
      <c r="E200" s="217" t="s">
        <v>396</v>
      </c>
      <c r="F200" s="217"/>
      <c r="G200" s="218">
        <v>43495</v>
      </c>
      <c r="H200" s="217"/>
      <c r="I200" s="217" t="s">
        <v>548</v>
      </c>
      <c r="J200" s="217"/>
      <c r="K200" s="217" t="s">
        <v>391</v>
      </c>
      <c r="L200" s="217"/>
      <c r="M200" s="217"/>
      <c r="N200" s="217"/>
      <c r="O200" s="219"/>
      <c r="P200" s="217"/>
      <c r="Q200" s="217" t="s">
        <v>416</v>
      </c>
      <c r="R200" s="217"/>
      <c r="S200" s="220">
        <v>2595</v>
      </c>
      <c r="T200" s="217"/>
      <c r="U200" s="220">
        <f t="shared" si="3"/>
        <v>560579.51</v>
      </c>
    </row>
    <row r="201" spans="1:21" x14ac:dyDescent="0.25">
      <c r="A201" s="217"/>
      <c r="B201" s="217"/>
      <c r="C201" s="217"/>
      <c r="D201" s="217"/>
      <c r="E201" s="217" t="s">
        <v>396</v>
      </c>
      <c r="F201" s="217"/>
      <c r="G201" s="218">
        <v>43495</v>
      </c>
      <c r="H201" s="217"/>
      <c r="I201" s="217" t="s">
        <v>549</v>
      </c>
      <c r="J201" s="217"/>
      <c r="K201" s="217" t="s">
        <v>391</v>
      </c>
      <c r="L201" s="217"/>
      <c r="M201" s="217"/>
      <c r="N201" s="217"/>
      <c r="O201" s="219"/>
      <c r="P201" s="217"/>
      <c r="Q201" s="217" t="s">
        <v>416</v>
      </c>
      <c r="R201" s="217"/>
      <c r="S201" s="220">
        <v>2360.48</v>
      </c>
      <c r="T201" s="217"/>
      <c r="U201" s="220">
        <f t="shared" si="3"/>
        <v>562939.99</v>
      </c>
    </row>
    <row r="202" spans="1:21" x14ac:dyDescent="0.25">
      <c r="A202" s="217"/>
      <c r="B202" s="217"/>
      <c r="C202" s="217"/>
      <c r="D202" s="217"/>
      <c r="E202" s="217" t="s">
        <v>396</v>
      </c>
      <c r="F202" s="217"/>
      <c r="G202" s="218">
        <v>43496</v>
      </c>
      <c r="H202" s="217"/>
      <c r="I202" s="217" t="s">
        <v>550</v>
      </c>
      <c r="J202" s="217"/>
      <c r="K202" s="217" t="s">
        <v>391</v>
      </c>
      <c r="L202" s="217"/>
      <c r="M202" s="217"/>
      <c r="N202" s="217"/>
      <c r="O202" s="219"/>
      <c r="P202" s="217"/>
      <c r="Q202" s="217" t="s">
        <v>416</v>
      </c>
      <c r="R202" s="217"/>
      <c r="S202" s="220">
        <v>1002</v>
      </c>
      <c r="T202" s="217"/>
      <c r="U202" s="220">
        <f t="shared" si="3"/>
        <v>563941.99</v>
      </c>
    </row>
    <row r="203" spans="1:21" x14ac:dyDescent="0.25">
      <c r="A203" s="217"/>
      <c r="B203" s="217"/>
      <c r="C203" s="217"/>
      <c r="D203" s="217"/>
      <c r="E203" s="217" t="s">
        <v>396</v>
      </c>
      <c r="F203" s="217"/>
      <c r="G203" s="218">
        <v>43523</v>
      </c>
      <c r="H203" s="217"/>
      <c r="I203" s="217" t="s">
        <v>551</v>
      </c>
      <c r="J203" s="217"/>
      <c r="K203" s="217" t="s">
        <v>391</v>
      </c>
      <c r="L203" s="217"/>
      <c r="M203" s="217"/>
      <c r="N203" s="217"/>
      <c r="O203" s="219"/>
      <c r="P203" s="217"/>
      <c r="Q203" s="217" t="s">
        <v>416</v>
      </c>
      <c r="R203" s="217"/>
      <c r="S203" s="220">
        <v>199</v>
      </c>
      <c r="T203" s="217"/>
      <c r="U203" s="220">
        <f t="shared" si="3"/>
        <v>564140.99</v>
      </c>
    </row>
    <row r="204" spans="1:21" x14ac:dyDescent="0.25">
      <c r="A204" s="217"/>
      <c r="B204" s="217"/>
      <c r="C204" s="217"/>
      <c r="D204" s="217"/>
      <c r="E204" s="217" t="s">
        <v>396</v>
      </c>
      <c r="F204" s="217"/>
      <c r="G204" s="218">
        <v>43523</v>
      </c>
      <c r="H204" s="217"/>
      <c r="I204" s="217" t="s">
        <v>552</v>
      </c>
      <c r="J204" s="217"/>
      <c r="K204" s="217" t="s">
        <v>391</v>
      </c>
      <c r="L204" s="217"/>
      <c r="M204" s="217"/>
      <c r="N204" s="217"/>
      <c r="O204" s="219"/>
      <c r="P204" s="217"/>
      <c r="Q204" s="217" t="s">
        <v>416</v>
      </c>
      <c r="R204" s="217"/>
      <c r="S204" s="220">
        <v>334.15</v>
      </c>
      <c r="T204" s="217"/>
      <c r="U204" s="220">
        <f t="shared" si="3"/>
        <v>564475.14</v>
      </c>
    </row>
    <row r="205" spans="1:21" x14ac:dyDescent="0.25">
      <c r="A205" s="217"/>
      <c r="B205" s="217"/>
      <c r="C205" s="217"/>
      <c r="D205" s="217"/>
      <c r="E205" s="217" t="s">
        <v>396</v>
      </c>
      <c r="F205" s="217"/>
      <c r="G205" s="218">
        <v>43523</v>
      </c>
      <c r="H205" s="217"/>
      <c r="I205" s="217" t="s">
        <v>553</v>
      </c>
      <c r="J205" s="217"/>
      <c r="K205" s="217" t="s">
        <v>391</v>
      </c>
      <c r="L205" s="217"/>
      <c r="M205" s="217"/>
      <c r="N205" s="217"/>
      <c r="O205" s="219"/>
      <c r="P205" s="217"/>
      <c r="Q205" s="217" t="s">
        <v>416</v>
      </c>
      <c r="R205" s="217"/>
      <c r="S205" s="220">
        <v>202</v>
      </c>
      <c r="T205" s="217"/>
      <c r="U205" s="220">
        <f t="shared" si="3"/>
        <v>564677.14</v>
      </c>
    </row>
    <row r="206" spans="1:21" x14ac:dyDescent="0.25">
      <c r="A206" s="217"/>
      <c r="B206" s="217"/>
      <c r="C206" s="217"/>
      <c r="D206" s="217"/>
      <c r="E206" s="217" t="s">
        <v>396</v>
      </c>
      <c r="F206" s="217"/>
      <c r="G206" s="218">
        <v>43553</v>
      </c>
      <c r="H206" s="217"/>
      <c r="I206" s="217" t="s">
        <v>554</v>
      </c>
      <c r="J206" s="217"/>
      <c r="K206" s="217" t="s">
        <v>391</v>
      </c>
      <c r="L206" s="217"/>
      <c r="M206" s="217"/>
      <c r="N206" s="217"/>
      <c r="O206" s="219"/>
      <c r="P206" s="217"/>
      <c r="Q206" s="217" t="s">
        <v>416</v>
      </c>
      <c r="R206" s="217"/>
      <c r="S206" s="220">
        <v>585</v>
      </c>
      <c r="T206" s="217"/>
      <c r="U206" s="220">
        <f t="shared" si="3"/>
        <v>565262.14</v>
      </c>
    </row>
    <row r="207" spans="1:21" x14ac:dyDescent="0.25">
      <c r="A207" s="217"/>
      <c r="B207" s="217"/>
      <c r="C207" s="217"/>
      <c r="D207" s="217"/>
      <c r="E207" s="217" t="s">
        <v>396</v>
      </c>
      <c r="F207" s="217"/>
      <c r="G207" s="218">
        <v>43553</v>
      </c>
      <c r="H207" s="217"/>
      <c r="I207" s="217" t="s">
        <v>555</v>
      </c>
      <c r="J207" s="217"/>
      <c r="K207" s="217" t="s">
        <v>391</v>
      </c>
      <c r="L207" s="217"/>
      <c r="M207" s="217"/>
      <c r="N207" s="217"/>
      <c r="O207" s="219"/>
      <c r="P207" s="217"/>
      <c r="Q207" s="217" t="s">
        <v>416</v>
      </c>
      <c r="R207" s="217"/>
      <c r="S207" s="220">
        <v>642.91999999999996</v>
      </c>
      <c r="T207" s="217"/>
      <c r="U207" s="220">
        <f t="shared" si="3"/>
        <v>565905.06000000006</v>
      </c>
    </row>
    <row r="208" spans="1:21" x14ac:dyDescent="0.25">
      <c r="A208" s="217"/>
      <c r="B208" s="217"/>
      <c r="C208" s="217"/>
      <c r="D208" s="217"/>
      <c r="E208" s="217" t="s">
        <v>396</v>
      </c>
      <c r="F208" s="217"/>
      <c r="G208" s="218">
        <v>43553</v>
      </c>
      <c r="H208" s="217"/>
      <c r="I208" s="217" t="s">
        <v>556</v>
      </c>
      <c r="J208" s="217"/>
      <c r="K208" s="217" t="s">
        <v>391</v>
      </c>
      <c r="L208" s="217"/>
      <c r="M208" s="217"/>
      <c r="N208" s="217"/>
      <c r="O208" s="219"/>
      <c r="P208" s="217"/>
      <c r="Q208" s="217" t="s">
        <v>416</v>
      </c>
      <c r="R208" s="217"/>
      <c r="S208" s="220">
        <v>194</v>
      </c>
      <c r="T208" s="217"/>
      <c r="U208" s="220">
        <f t="shared" si="3"/>
        <v>566099.06000000006</v>
      </c>
    </row>
    <row r="209" spans="1:21" x14ac:dyDescent="0.25">
      <c r="A209" s="217"/>
      <c r="B209" s="217"/>
      <c r="C209" s="217"/>
      <c r="D209" s="217"/>
      <c r="E209" s="217" t="s">
        <v>396</v>
      </c>
      <c r="F209" s="217"/>
      <c r="G209" s="218">
        <v>43581</v>
      </c>
      <c r="H209" s="217"/>
      <c r="I209" s="217" t="s">
        <v>557</v>
      </c>
      <c r="J209" s="217"/>
      <c r="K209" s="217" t="s">
        <v>391</v>
      </c>
      <c r="L209" s="217"/>
      <c r="M209" s="217"/>
      <c r="N209" s="217"/>
      <c r="O209" s="219"/>
      <c r="P209" s="217"/>
      <c r="Q209" s="217" t="s">
        <v>398</v>
      </c>
      <c r="R209" s="217"/>
      <c r="S209" s="220">
        <v>2668</v>
      </c>
      <c r="T209" s="217"/>
      <c r="U209" s="220">
        <f t="shared" si="3"/>
        <v>568767.06000000006</v>
      </c>
    </row>
    <row r="210" spans="1:21" x14ac:dyDescent="0.25">
      <c r="A210" s="217"/>
      <c r="B210" s="217"/>
      <c r="C210" s="217"/>
      <c r="D210" s="217"/>
      <c r="E210" s="217" t="s">
        <v>396</v>
      </c>
      <c r="F210" s="217"/>
      <c r="G210" s="218">
        <v>43581</v>
      </c>
      <c r="H210" s="217"/>
      <c r="I210" s="217" t="s">
        <v>558</v>
      </c>
      <c r="J210" s="217"/>
      <c r="K210" s="217" t="s">
        <v>391</v>
      </c>
      <c r="L210" s="217"/>
      <c r="M210" s="217"/>
      <c r="N210" s="217"/>
      <c r="O210" s="219"/>
      <c r="P210" s="217"/>
      <c r="Q210" s="217" t="s">
        <v>398</v>
      </c>
      <c r="R210" s="217"/>
      <c r="S210" s="220">
        <v>3383.3</v>
      </c>
      <c r="T210" s="217"/>
      <c r="U210" s="220">
        <f t="shared" si="3"/>
        <v>572150.36</v>
      </c>
    </row>
    <row r="211" spans="1:21" ht="15.75" thickBot="1" x14ac:dyDescent="0.3">
      <c r="A211" s="217"/>
      <c r="B211" s="217"/>
      <c r="C211" s="217"/>
      <c r="D211" s="217"/>
      <c r="E211" s="217" t="s">
        <v>396</v>
      </c>
      <c r="F211" s="217"/>
      <c r="G211" s="218">
        <v>43581</v>
      </c>
      <c r="H211" s="217"/>
      <c r="I211" s="217" t="s">
        <v>486</v>
      </c>
      <c r="J211" s="217"/>
      <c r="K211" s="217" t="s">
        <v>391</v>
      </c>
      <c r="L211" s="217"/>
      <c r="M211" s="217"/>
      <c r="N211" s="217"/>
      <c r="O211" s="219"/>
      <c r="P211" s="217"/>
      <c r="Q211" s="217" t="s">
        <v>398</v>
      </c>
      <c r="R211" s="217"/>
      <c r="S211" s="221">
        <v>126</v>
      </c>
      <c r="T211" s="217"/>
      <c r="U211" s="221">
        <f t="shared" si="3"/>
        <v>572276.36</v>
      </c>
    </row>
    <row r="212" spans="1:21" ht="15.75" thickBot="1" x14ac:dyDescent="0.3">
      <c r="A212" s="217"/>
      <c r="B212" s="217" t="s">
        <v>559</v>
      </c>
      <c r="C212" s="217"/>
      <c r="D212" s="217"/>
      <c r="E212" s="217"/>
      <c r="F212" s="217"/>
      <c r="G212" s="218"/>
      <c r="H212" s="217"/>
      <c r="I212" s="217"/>
      <c r="J212" s="217"/>
      <c r="K212" s="217"/>
      <c r="L212" s="217"/>
      <c r="M212" s="217"/>
      <c r="N212" s="217"/>
      <c r="O212" s="217"/>
      <c r="P212" s="217"/>
      <c r="Q212" s="217"/>
      <c r="R212" s="217"/>
      <c r="S212" s="222">
        <f>ROUND(SUM(S2:S211),5)</f>
        <v>572276.36</v>
      </c>
      <c r="T212" s="217"/>
      <c r="U212" s="222">
        <f>U211</f>
        <v>572276.36</v>
      </c>
    </row>
    <row r="213" spans="1:21" s="224" customFormat="1" ht="12" thickBot="1" x14ac:dyDescent="0.25">
      <c r="A213" s="214" t="s">
        <v>257</v>
      </c>
      <c r="B213" s="214"/>
      <c r="C213" s="214"/>
      <c r="D213" s="214"/>
      <c r="E213" s="214"/>
      <c r="F213" s="214"/>
      <c r="G213" s="215"/>
      <c r="H213" s="214"/>
      <c r="I213" s="214"/>
      <c r="J213" s="214"/>
      <c r="K213" s="214"/>
      <c r="L213" s="214"/>
      <c r="M213" s="214"/>
      <c r="N213" s="214"/>
      <c r="O213" s="214"/>
      <c r="P213" s="214"/>
      <c r="Q213" s="214"/>
      <c r="R213" s="214"/>
      <c r="S213" s="223">
        <f>S212</f>
        <v>572276.36</v>
      </c>
      <c r="T213" s="214"/>
      <c r="U213" s="223">
        <f>U212</f>
        <v>572276.36</v>
      </c>
    </row>
    <row r="214" spans="1:21" ht="15.75" thickTop="1" x14ac:dyDescent="0.25"/>
    <row r="215" spans="1:21" x14ac:dyDescent="0.25">
      <c r="K215" s="554" t="s">
        <v>560</v>
      </c>
      <c r="L215" s="554"/>
      <c r="M215" s="554"/>
      <c r="Q215" s="156">
        <f>S213/67</f>
        <v>8541.4382089552237</v>
      </c>
    </row>
    <row r="216" spans="1:21" x14ac:dyDescent="0.25">
      <c r="M216" s="225" t="s">
        <v>561</v>
      </c>
      <c r="Q216" s="156">
        <f>Q215*12</f>
        <v>102497.25850746268</v>
      </c>
    </row>
    <row r="217" spans="1:21" x14ac:dyDescent="0.25">
      <c r="M217" s="225" t="s">
        <v>573</v>
      </c>
      <c r="Q217" s="226">
        <f>Q216*4%</f>
        <v>4099.890340298507</v>
      </c>
    </row>
    <row r="218" spans="1:21" x14ac:dyDescent="0.25">
      <c r="M218" s="225" t="s">
        <v>562</v>
      </c>
      <c r="Q218" s="156">
        <f>SUM(Q216:Q217)</f>
        <v>106597.14884776119</v>
      </c>
    </row>
    <row r="219" spans="1:21" x14ac:dyDescent="0.25">
      <c r="M219" s="217" t="s">
        <v>574</v>
      </c>
    </row>
  </sheetData>
  <mergeCells count="1">
    <mergeCell ref="K215:M215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5"/>
  <sheetViews>
    <sheetView zoomScaleNormal="100" workbookViewId="0">
      <selection activeCell="M46" sqref="M46"/>
    </sheetView>
  </sheetViews>
  <sheetFormatPr defaultRowHeight="12.75" x14ac:dyDescent="0.2"/>
  <cols>
    <col min="1" max="1" width="9.42578125" style="204" customWidth="1"/>
    <col min="2" max="2" width="18.140625" style="193" customWidth="1"/>
    <col min="3" max="3" width="10.140625" style="193" bestFit="1" customWidth="1"/>
    <col min="4" max="4" width="6.28515625" style="205" customWidth="1"/>
    <col min="5" max="5" width="12.7109375" style="193" customWidth="1"/>
    <col min="6" max="6" width="2.140625" style="206" customWidth="1"/>
    <col min="7" max="7" width="8.7109375" style="193" customWidth="1"/>
    <col min="8" max="8" width="9" style="193" customWidth="1"/>
    <col min="9" max="9" width="11.28515625" style="193" customWidth="1"/>
    <col min="10" max="10" width="12.140625" style="193" customWidth="1"/>
    <col min="11" max="11" width="13.7109375" style="193" customWidth="1"/>
    <col min="12" max="12" width="12.140625" style="207" bestFit="1" customWidth="1"/>
    <col min="13" max="13" width="12.7109375" style="159" bestFit="1" customWidth="1"/>
    <col min="14" max="14" width="11.28515625" style="135" customWidth="1"/>
    <col min="15" max="15" width="11.7109375" style="159" bestFit="1" customWidth="1"/>
    <col min="16" max="16" width="11.42578125" style="135" customWidth="1"/>
    <col min="17" max="16384" width="9.140625" style="135"/>
  </cols>
  <sheetData>
    <row r="1" spans="1:16" x14ac:dyDescent="0.2">
      <c r="A1" s="560" t="s">
        <v>606</v>
      </c>
      <c r="B1" s="561"/>
      <c r="C1" s="561"/>
      <c r="D1" s="561"/>
      <c r="E1" s="561"/>
      <c r="F1" s="561"/>
      <c r="G1" s="561"/>
      <c r="H1" s="561"/>
      <c r="I1" s="561"/>
      <c r="J1" s="562"/>
      <c r="K1" s="157"/>
      <c r="L1" s="158"/>
      <c r="M1" s="1"/>
    </row>
    <row r="2" spans="1:16" x14ac:dyDescent="0.2">
      <c r="A2" s="555" t="s">
        <v>261</v>
      </c>
      <c r="B2" s="556"/>
      <c r="C2" s="556"/>
      <c r="D2" s="556"/>
      <c r="E2" s="556"/>
      <c r="F2" s="229"/>
      <c r="G2" s="556" t="s">
        <v>262</v>
      </c>
      <c r="H2" s="556"/>
      <c r="I2" s="556"/>
      <c r="J2" s="563"/>
      <c r="K2" s="157"/>
      <c r="L2" s="158" t="s">
        <v>328</v>
      </c>
      <c r="M2" s="1"/>
    </row>
    <row r="3" spans="1:16" x14ac:dyDescent="0.2">
      <c r="A3" s="228"/>
      <c r="B3" s="229"/>
      <c r="C3" s="229" t="s">
        <v>329</v>
      </c>
      <c r="D3" s="161" t="s">
        <v>330</v>
      </c>
      <c r="E3" s="229" t="s">
        <v>258</v>
      </c>
      <c r="F3" s="229"/>
      <c r="G3" s="229"/>
      <c r="H3" s="229" t="s">
        <v>329</v>
      </c>
      <c r="I3" s="229" t="s">
        <v>330</v>
      </c>
      <c r="J3" s="230" t="s">
        <v>258</v>
      </c>
      <c r="K3" s="162" t="s">
        <v>331</v>
      </c>
      <c r="L3" s="158" t="s">
        <v>332</v>
      </c>
      <c r="M3" s="1"/>
    </row>
    <row r="4" spans="1:16" x14ac:dyDescent="0.2">
      <c r="A4" s="228">
        <v>16</v>
      </c>
      <c r="B4" s="229" t="s">
        <v>333</v>
      </c>
      <c r="C4" s="163">
        <v>3356.61</v>
      </c>
      <c r="D4" s="197">
        <v>67.180000000000007</v>
      </c>
      <c r="E4" s="161"/>
      <c r="F4" s="161"/>
      <c r="G4" s="229" t="s">
        <v>249</v>
      </c>
      <c r="H4" s="209">
        <v>881.01400000000001</v>
      </c>
      <c r="I4" s="161">
        <f>D4</f>
        <v>67.180000000000007</v>
      </c>
      <c r="J4" s="164">
        <f>H4*I4</f>
        <v>59186.520520000005</v>
      </c>
      <c r="K4" s="210">
        <f>C6+H4</f>
        <v>4661.9340000000002</v>
      </c>
      <c r="L4" s="166">
        <f>K4/K15</f>
        <v>0.17475976003218446</v>
      </c>
      <c r="M4" s="1"/>
    </row>
    <row r="5" spans="1:16" x14ac:dyDescent="0.2">
      <c r="A5" s="228">
        <v>18</v>
      </c>
      <c r="B5" s="229" t="s">
        <v>333</v>
      </c>
      <c r="C5" s="167">
        <v>424.31</v>
      </c>
      <c r="D5" s="197">
        <v>67.180000000000007</v>
      </c>
      <c r="E5" s="161"/>
      <c r="F5" s="161"/>
      <c r="G5" s="229"/>
      <c r="H5" s="229"/>
      <c r="I5" s="161"/>
      <c r="J5" s="230"/>
      <c r="K5" s="157"/>
      <c r="L5" s="166"/>
      <c r="M5" s="1"/>
    </row>
    <row r="6" spans="1:16" x14ac:dyDescent="0.2">
      <c r="A6" s="228"/>
      <c r="B6" s="229"/>
      <c r="C6" s="163">
        <f>SUM(C4:C5)</f>
        <v>3780.92</v>
      </c>
      <c r="D6" s="161"/>
      <c r="E6" s="161">
        <f>C6*D4</f>
        <v>254002.20560000004</v>
      </c>
      <c r="F6" s="161"/>
      <c r="G6" s="229"/>
      <c r="H6" s="163"/>
      <c r="I6" s="161"/>
      <c r="J6" s="230"/>
      <c r="K6" s="157"/>
      <c r="L6" s="166"/>
      <c r="M6" s="1"/>
    </row>
    <row r="7" spans="1:16" x14ac:dyDescent="0.2">
      <c r="A7" s="228"/>
      <c r="B7" s="229"/>
      <c r="C7" s="163"/>
      <c r="D7" s="161"/>
      <c r="E7" s="161"/>
      <c r="F7" s="161"/>
      <c r="G7" s="229"/>
      <c r="H7" s="163"/>
      <c r="I7" s="161"/>
      <c r="J7" s="230"/>
      <c r="K7" s="157"/>
      <c r="L7" s="166"/>
      <c r="M7" s="1"/>
      <c r="O7" s="159">
        <v>817978</v>
      </c>
    </row>
    <row r="8" spans="1:16" x14ac:dyDescent="0.2">
      <c r="A8" s="228">
        <v>1601</v>
      </c>
      <c r="B8" s="229" t="s">
        <v>334</v>
      </c>
      <c r="C8" s="163">
        <v>4208.45</v>
      </c>
      <c r="D8" s="197">
        <v>25.71</v>
      </c>
      <c r="E8" s="161"/>
      <c r="F8" s="161"/>
      <c r="G8" s="229" t="s">
        <v>251</v>
      </c>
      <c r="H8" s="210">
        <v>1766.31</v>
      </c>
      <c r="I8" s="161">
        <f>D8</f>
        <v>25.71</v>
      </c>
      <c r="J8" s="164">
        <f>H8*I8</f>
        <v>45411.830099999999</v>
      </c>
      <c r="K8" s="210">
        <f>C10+H8</f>
        <v>14459.6</v>
      </c>
      <c r="L8" s="166">
        <f>K8/K15</f>
        <v>0.54204032621683929</v>
      </c>
      <c r="M8" s="1"/>
      <c r="N8" s="168"/>
    </row>
    <row r="9" spans="1:16" x14ac:dyDescent="0.2">
      <c r="A9" s="228">
        <v>1604</v>
      </c>
      <c r="B9" s="229" t="s">
        <v>335</v>
      </c>
      <c r="C9" s="169">
        <v>8484.84</v>
      </c>
      <c r="D9" s="197">
        <v>25.71</v>
      </c>
      <c r="E9" s="161"/>
      <c r="F9" s="161"/>
      <c r="G9" s="229"/>
      <c r="H9" s="163"/>
      <c r="I9" s="161"/>
      <c r="J9" s="230"/>
      <c r="K9" s="157"/>
      <c r="L9" s="166"/>
      <c r="M9" s="1"/>
      <c r="N9" s="168"/>
      <c r="O9" s="170"/>
    </row>
    <row r="10" spans="1:16" x14ac:dyDescent="0.2">
      <c r="A10" s="228"/>
      <c r="B10" s="229"/>
      <c r="C10" s="163">
        <f>SUM(C8:C9)</f>
        <v>12693.29</v>
      </c>
      <c r="D10" s="161"/>
      <c r="E10" s="161">
        <f>C10*D8</f>
        <v>326344.48590000003</v>
      </c>
      <c r="F10" s="161"/>
      <c r="G10" s="229"/>
      <c r="H10" s="163"/>
      <c r="I10" s="161"/>
      <c r="J10" s="230"/>
      <c r="K10" s="157"/>
      <c r="L10" s="166"/>
      <c r="M10" s="1"/>
      <c r="P10" s="159"/>
    </row>
    <row r="11" spans="1:16" x14ac:dyDescent="0.2">
      <c r="A11" s="228"/>
      <c r="B11" s="229"/>
      <c r="C11" s="163"/>
      <c r="D11" s="161"/>
      <c r="E11" s="161"/>
      <c r="F11" s="161"/>
      <c r="G11" s="229"/>
      <c r="H11" s="163"/>
      <c r="I11" s="161"/>
      <c r="J11" s="230"/>
      <c r="K11" s="157"/>
      <c r="L11" s="166"/>
      <c r="M11" s="1"/>
    </row>
    <row r="12" spans="1:16" x14ac:dyDescent="0.2">
      <c r="A12" s="228">
        <v>1602</v>
      </c>
      <c r="B12" s="229" t="s">
        <v>336</v>
      </c>
      <c r="C12" s="163">
        <v>3304.66</v>
      </c>
      <c r="D12" s="197">
        <v>5.21</v>
      </c>
      <c r="E12" s="161">
        <f>C12*D12</f>
        <v>17217.278599999998</v>
      </c>
      <c r="F12" s="161"/>
      <c r="G12" s="229" t="s">
        <v>252</v>
      </c>
      <c r="H12" s="210">
        <v>3773.34</v>
      </c>
      <c r="I12" s="161">
        <f>D12</f>
        <v>5.21</v>
      </c>
      <c r="J12" s="164">
        <f>H12*I12</f>
        <v>19659.1014</v>
      </c>
      <c r="K12" s="210">
        <f>C12+H12</f>
        <v>7078</v>
      </c>
      <c r="L12" s="166">
        <f>K12/K15</f>
        <v>0.26532970683578994</v>
      </c>
      <c r="M12" s="1"/>
    </row>
    <row r="13" spans="1:16" x14ac:dyDescent="0.2">
      <c r="A13" s="228"/>
      <c r="B13" s="229"/>
      <c r="C13" s="163"/>
      <c r="D13" s="161"/>
      <c r="E13" s="161"/>
      <c r="F13" s="161"/>
      <c r="G13" s="229"/>
      <c r="H13" s="163"/>
      <c r="I13" s="161"/>
      <c r="J13" s="230"/>
      <c r="K13" s="157"/>
      <c r="L13" s="166"/>
      <c r="M13" s="1"/>
    </row>
    <row r="14" spans="1:16" x14ac:dyDescent="0.2">
      <c r="A14" s="228">
        <v>1606</v>
      </c>
      <c r="B14" s="229" t="s">
        <v>337</v>
      </c>
      <c r="C14" s="163">
        <v>227.22</v>
      </c>
      <c r="D14" s="197">
        <f>D4/2</f>
        <v>33.590000000000003</v>
      </c>
      <c r="E14" s="171">
        <f>C14*D14</f>
        <v>7632.3198000000011</v>
      </c>
      <c r="F14" s="161"/>
      <c r="G14" s="229" t="s">
        <v>255</v>
      </c>
      <c r="H14" s="210">
        <v>249.49</v>
      </c>
      <c r="I14" s="161">
        <f>D14</f>
        <v>33.590000000000003</v>
      </c>
      <c r="J14" s="172">
        <f>H14*I14</f>
        <v>8380.3691000000017</v>
      </c>
      <c r="K14" s="291">
        <f>C14+H14</f>
        <v>476.71000000000004</v>
      </c>
      <c r="L14" s="173">
        <f>K14/K15</f>
        <v>1.7870206915186412E-2</v>
      </c>
      <c r="M14" s="1"/>
      <c r="N14" s="135" t="s">
        <v>261</v>
      </c>
      <c r="O14" s="159" t="s">
        <v>262</v>
      </c>
    </row>
    <row r="15" spans="1:16" x14ac:dyDescent="0.2">
      <c r="A15" s="228"/>
      <c r="B15" s="229"/>
      <c r="C15" s="229"/>
      <c r="D15" s="161"/>
      <c r="E15" s="161">
        <f>SUM(E6:E14)</f>
        <v>605196.28990000009</v>
      </c>
      <c r="F15" s="161"/>
      <c r="G15" s="229"/>
      <c r="H15" s="229"/>
      <c r="I15" s="229"/>
      <c r="J15" s="164">
        <f>SUM(J4:J14)</f>
        <v>132637.82112000001</v>
      </c>
      <c r="K15" s="210">
        <f>SUM(K4:K14)</f>
        <v>26676.243999999999</v>
      </c>
      <c r="L15" s="166">
        <f>SUM(L4:L14)</f>
        <v>1.0000000000000002</v>
      </c>
      <c r="M15" s="1">
        <f>E15+J15</f>
        <v>737834.11102000007</v>
      </c>
      <c r="N15" s="284">
        <v>0.81895200000000001</v>
      </c>
      <c r="O15" s="284">
        <v>0.18104899999999999</v>
      </c>
    </row>
    <row r="16" spans="1:16" x14ac:dyDescent="0.2">
      <c r="A16" s="228"/>
      <c r="B16" s="229"/>
      <c r="C16" s="229"/>
      <c r="D16" s="161"/>
      <c r="E16" s="161"/>
      <c r="F16" s="161"/>
      <c r="G16" s="229"/>
      <c r="H16" s="229"/>
      <c r="I16" s="229"/>
      <c r="J16" s="164"/>
      <c r="K16" s="157"/>
      <c r="L16" s="158"/>
      <c r="M16" s="278">
        <f>-M21</f>
        <v>-691478.38</v>
      </c>
    </row>
    <row r="17" spans="1:17" x14ac:dyDescent="0.2">
      <c r="A17" s="228">
        <v>1603</v>
      </c>
      <c r="B17" s="229" t="s">
        <v>253</v>
      </c>
      <c r="C17" s="229">
        <v>237.04</v>
      </c>
      <c r="D17" s="161"/>
      <c r="E17" s="229"/>
      <c r="F17" s="229"/>
      <c r="G17" s="229"/>
      <c r="H17" s="229"/>
      <c r="I17" s="229"/>
      <c r="J17" s="230"/>
      <c r="K17" s="174">
        <f>C19</f>
        <v>495.81999999999994</v>
      </c>
      <c r="L17" s="158"/>
      <c r="M17" s="1">
        <f>SUM(M15:M16)</f>
        <v>46355.731020000065</v>
      </c>
      <c r="N17" s="460">
        <f>M17*81.8952%</f>
        <v>37963.118630291094</v>
      </c>
      <c r="O17" s="159">
        <f>M17*18.1049%</f>
        <v>8392.6587454399923</v>
      </c>
      <c r="P17" s="159">
        <f>SUM(N17:O17)</f>
        <v>46355.777375731086</v>
      </c>
    </row>
    <row r="18" spans="1:17" x14ac:dyDescent="0.2">
      <c r="A18" s="228">
        <v>1605</v>
      </c>
      <c r="B18" s="229" t="s">
        <v>253</v>
      </c>
      <c r="C18" s="175">
        <v>258.77999999999997</v>
      </c>
      <c r="D18" s="161"/>
      <c r="E18" s="229"/>
      <c r="F18" s="229"/>
      <c r="G18" s="229"/>
      <c r="H18" s="229"/>
      <c r="I18" s="229"/>
      <c r="J18" s="230"/>
      <c r="K18" s="165">
        <f>SUM(K15:K17)</f>
        <v>27172.063999999998</v>
      </c>
      <c r="L18" s="158"/>
      <c r="M18" s="1"/>
      <c r="P18" s="279">
        <f>M17-P17</f>
        <v>-4.6355731021321844E-2</v>
      </c>
    </row>
    <row r="19" spans="1:17" x14ac:dyDescent="0.2">
      <c r="A19" s="228"/>
      <c r="B19" s="229"/>
      <c r="C19" s="229">
        <f>SUM(C17:C18)</f>
        <v>495.81999999999994</v>
      </c>
      <c r="D19" s="161"/>
      <c r="E19" s="229"/>
      <c r="F19" s="229"/>
      <c r="G19" s="229"/>
      <c r="H19" s="229"/>
      <c r="I19" s="229"/>
      <c r="J19" s="230"/>
      <c r="K19" s="157"/>
      <c r="L19" s="158"/>
      <c r="M19" s="1"/>
    </row>
    <row r="20" spans="1:17" ht="13.5" thickBot="1" x14ac:dyDescent="0.25">
      <c r="A20" s="228"/>
      <c r="B20" s="229"/>
      <c r="C20" s="229"/>
      <c r="D20" s="161"/>
      <c r="E20" s="229"/>
      <c r="F20" s="229"/>
      <c r="G20" s="229"/>
      <c r="H20" s="229"/>
      <c r="I20" s="229"/>
      <c r="J20" s="230"/>
      <c r="K20" s="157"/>
      <c r="L20" s="281">
        <f>E23+J23</f>
        <v>691478.33364426903</v>
      </c>
      <c r="M20" s="277"/>
      <c r="N20" s="135" t="s">
        <v>568</v>
      </c>
    </row>
    <row r="21" spans="1:17" ht="13.5" thickBot="1" x14ac:dyDescent="0.25">
      <c r="A21" s="176"/>
      <c r="B21" s="229"/>
      <c r="C21" s="229"/>
      <c r="D21" s="161"/>
      <c r="E21" s="286">
        <f>E15</f>
        <v>605196.28990000009</v>
      </c>
      <c r="F21" s="161"/>
      <c r="G21" s="177"/>
      <c r="H21" s="229"/>
      <c r="I21" s="178"/>
      <c r="J21" s="286">
        <f>J15</f>
        <v>132637.82112000001</v>
      </c>
      <c r="K21" s="161">
        <f>E21+J21</f>
        <v>737834.11102000007</v>
      </c>
      <c r="L21" s="179" t="s">
        <v>338</v>
      </c>
      <c r="M21" s="280">
        <v>691478.38</v>
      </c>
      <c r="N21" s="282" t="s">
        <v>569</v>
      </c>
      <c r="O21" s="283"/>
      <c r="P21" s="282"/>
      <c r="Q21" s="282"/>
    </row>
    <row r="22" spans="1:17" x14ac:dyDescent="0.2">
      <c r="A22" s="180"/>
      <c r="B22" s="229"/>
      <c r="C22" s="229"/>
      <c r="D22" s="161"/>
      <c r="E22" s="288">
        <f>N17</f>
        <v>37963.118630291094</v>
      </c>
      <c r="F22" s="161"/>
      <c r="G22" s="177"/>
      <c r="H22" s="229"/>
      <c r="I22" s="181"/>
      <c r="J22" s="288">
        <f>O17</f>
        <v>8392.6587454399923</v>
      </c>
      <c r="K22" s="182">
        <f>E22+J22</f>
        <v>46355.777375731086</v>
      </c>
      <c r="L22" s="179"/>
      <c r="N22" s="159"/>
    </row>
    <row r="23" spans="1:17" ht="13.5" thickBot="1" x14ac:dyDescent="0.25">
      <c r="A23" s="228" t="s">
        <v>570</v>
      </c>
      <c r="B23" s="161">
        <f>E23+J23</f>
        <v>691478.33364426903</v>
      </c>
      <c r="C23" s="229"/>
      <c r="D23" s="161"/>
      <c r="E23" s="287">
        <f>E21-E22</f>
        <v>567233.17126970901</v>
      </c>
      <c r="F23" s="161"/>
      <c r="G23" s="177"/>
      <c r="H23" s="229"/>
      <c r="I23" s="229"/>
      <c r="J23" s="287">
        <f>J21-J22</f>
        <v>124245.16237456002</v>
      </c>
      <c r="K23" s="161"/>
      <c r="L23" s="461"/>
      <c r="M23" s="182"/>
      <c r="N23" s="135" t="s">
        <v>607</v>
      </c>
      <c r="P23" s="279">
        <f>M21-L20</f>
        <v>4.6355730970390141E-2</v>
      </c>
    </row>
    <row r="24" spans="1:17" x14ac:dyDescent="0.2">
      <c r="A24" s="555" t="s">
        <v>340</v>
      </c>
      <c r="B24" s="556"/>
      <c r="C24" s="163">
        <f>C6+C10+C12+C14</f>
        <v>20006.09</v>
      </c>
      <c r="D24" s="161"/>
      <c r="E24" s="161"/>
      <c r="F24" s="161"/>
      <c r="G24" s="556" t="s">
        <v>341</v>
      </c>
      <c r="H24" s="556"/>
      <c r="I24" s="556"/>
      <c r="J24" s="285">
        <f>H4+H8+H12+H14</f>
        <v>6670.1540000000005</v>
      </c>
      <c r="K24" s="135"/>
      <c r="L24" s="135"/>
      <c r="O24" s="135"/>
    </row>
    <row r="25" spans="1:17" x14ac:dyDescent="0.2">
      <c r="A25" s="228" t="s">
        <v>342</v>
      </c>
      <c r="B25" s="229"/>
      <c r="C25" s="163">
        <f>C24+J24</f>
        <v>26676.243999999999</v>
      </c>
      <c r="D25" s="161"/>
      <c r="E25" s="161"/>
      <c r="F25" s="161"/>
      <c r="G25" s="229"/>
      <c r="H25" s="229"/>
      <c r="I25" s="229"/>
      <c r="J25" s="164"/>
      <c r="K25" s="135"/>
      <c r="L25" s="135"/>
      <c r="O25" s="135"/>
    </row>
    <row r="26" spans="1:17" ht="13.5" thickBot="1" x14ac:dyDescent="0.25">
      <c r="A26" s="183" t="s">
        <v>374</v>
      </c>
      <c r="B26" s="184"/>
      <c r="C26" s="184"/>
      <c r="D26" s="185"/>
      <c r="E26" s="184" t="s">
        <v>343</v>
      </c>
      <c r="F26" s="184"/>
      <c r="G26" s="184"/>
      <c r="H26" s="184"/>
      <c r="I26" s="184"/>
      <c r="J26" s="292"/>
      <c r="K26" s="135"/>
      <c r="L26" s="135"/>
      <c r="O26" s="135"/>
    </row>
    <row r="27" spans="1:17" ht="13.5" thickBot="1" x14ac:dyDescent="0.25">
      <c r="A27" s="186"/>
      <c r="B27" s="186"/>
      <c r="C27" s="186"/>
      <c r="D27" s="187"/>
      <c r="E27" s="186"/>
      <c r="F27" s="186"/>
      <c r="G27" s="186"/>
      <c r="H27" s="186"/>
      <c r="I27" s="186"/>
      <c r="J27" s="186"/>
      <c r="K27" s="135"/>
      <c r="L27" s="135"/>
      <c r="O27" s="135"/>
    </row>
    <row r="28" spans="1:17" x14ac:dyDescent="0.2">
      <c r="A28" s="557" t="s">
        <v>608</v>
      </c>
      <c r="B28" s="558"/>
      <c r="C28" s="558"/>
      <c r="D28" s="558"/>
      <c r="E28" s="558"/>
      <c r="F28" s="558"/>
      <c r="G28" s="558"/>
      <c r="H28" s="558"/>
      <c r="I28" s="558"/>
      <c r="J28" s="559"/>
      <c r="K28" s="135"/>
      <c r="L28" s="135"/>
      <c r="O28" s="135"/>
    </row>
    <row r="29" spans="1:17" x14ac:dyDescent="0.2">
      <c r="A29" s="228" t="s">
        <v>261</v>
      </c>
      <c r="B29" s="229"/>
      <c r="C29" s="229" t="s">
        <v>329</v>
      </c>
      <c r="D29" s="229"/>
      <c r="E29" s="229"/>
      <c r="F29" s="229"/>
      <c r="G29" s="229" t="s">
        <v>262</v>
      </c>
      <c r="H29" s="229" t="s">
        <v>329</v>
      </c>
      <c r="I29" s="229"/>
      <c r="J29" s="230"/>
      <c r="K29" s="158"/>
      <c r="L29" s="1"/>
      <c r="O29" s="135"/>
    </row>
    <row r="30" spans="1:17" x14ac:dyDescent="0.2">
      <c r="A30" s="231"/>
      <c r="B30" s="229"/>
      <c r="C30" s="232" t="s">
        <v>329</v>
      </c>
      <c r="D30" s="161" t="s">
        <v>330</v>
      </c>
      <c r="E30" s="232" t="s">
        <v>258</v>
      </c>
      <c r="F30" s="188"/>
      <c r="G30" s="232"/>
      <c r="H30" s="232" t="s">
        <v>329</v>
      </c>
      <c r="I30" s="232" t="s">
        <v>330</v>
      </c>
      <c r="J30" s="230" t="s">
        <v>258</v>
      </c>
      <c r="K30" s="158"/>
      <c r="L30" s="1"/>
      <c r="O30" s="135"/>
    </row>
    <row r="31" spans="1:17" x14ac:dyDescent="0.2">
      <c r="A31" s="231">
        <v>16</v>
      </c>
      <c r="B31" s="229" t="s">
        <v>333</v>
      </c>
      <c r="C31" s="165">
        <f>C4</f>
        <v>3356.61</v>
      </c>
      <c r="D31" s="161"/>
      <c r="E31" s="161"/>
      <c r="F31" s="189"/>
      <c r="G31" s="229"/>
      <c r="H31" s="229"/>
      <c r="I31" s="229"/>
      <c r="J31" s="230"/>
      <c r="K31" s="160"/>
      <c r="L31" s="179"/>
      <c r="M31" s="182"/>
      <c r="O31" s="135"/>
    </row>
    <row r="32" spans="1:17" x14ac:dyDescent="0.2">
      <c r="A32" s="231">
        <v>18</v>
      </c>
      <c r="B32" s="229" t="s">
        <v>333</v>
      </c>
      <c r="C32" s="190">
        <f>C5</f>
        <v>424.31</v>
      </c>
      <c r="D32" s="161"/>
      <c r="E32" s="161"/>
      <c r="F32" s="189"/>
      <c r="G32" s="177"/>
      <c r="H32" s="229"/>
      <c r="I32" s="229"/>
      <c r="J32" s="230"/>
      <c r="K32" s="160"/>
      <c r="L32" s="179"/>
      <c r="M32" s="182"/>
      <c r="O32" s="135"/>
    </row>
    <row r="33" spans="1:17" x14ac:dyDescent="0.2">
      <c r="A33" s="231"/>
      <c r="B33" s="229"/>
      <c r="C33" s="165">
        <f>SUM(C31:C32)</f>
        <v>3780.92</v>
      </c>
      <c r="D33" s="161">
        <v>71.78</v>
      </c>
      <c r="E33" s="199">
        <f>C33*D33</f>
        <v>271394.4376</v>
      </c>
      <c r="F33" s="189"/>
      <c r="G33" s="229" t="s">
        <v>249</v>
      </c>
      <c r="H33" s="232">
        <f>H4</f>
        <v>881.01400000000001</v>
      </c>
      <c r="I33" s="161">
        <f>D33</f>
        <v>71.78</v>
      </c>
      <c r="J33" s="164">
        <f>I33*H33</f>
        <v>63239.18492</v>
      </c>
      <c r="K33" s="161"/>
      <c r="L33" s="191"/>
      <c r="M33" s="182"/>
      <c r="O33" s="135"/>
    </row>
    <row r="34" spans="1:17" x14ac:dyDescent="0.2">
      <c r="A34" s="231"/>
      <c r="B34" s="229"/>
      <c r="C34" s="165"/>
      <c r="D34" s="161"/>
      <c r="F34" s="189"/>
      <c r="G34" s="229"/>
      <c r="H34" s="232"/>
      <c r="I34" s="161"/>
      <c r="J34" s="164"/>
      <c r="K34" s="160"/>
      <c r="L34" s="179"/>
      <c r="M34" s="182"/>
      <c r="O34" s="135"/>
    </row>
    <row r="35" spans="1:17" x14ac:dyDescent="0.2">
      <c r="A35" s="231">
        <v>1601</v>
      </c>
      <c r="B35" s="229" t="s">
        <v>334</v>
      </c>
      <c r="C35" s="165">
        <v>4208.45</v>
      </c>
      <c r="D35" s="161"/>
      <c r="F35" s="189"/>
      <c r="G35" s="229"/>
      <c r="H35" s="165"/>
      <c r="I35" s="161"/>
      <c r="J35" s="164"/>
      <c r="K35" s="160"/>
      <c r="L35" s="179"/>
      <c r="M35" s="182"/>
      <c r="O35" s="135"/>
    </row>
    <row r="36" spans="1:17" x14ac:dyDescent="0.2">
      <c r="A36" s="231">
        <v>1604</v>
      </c>
      <c r="B36" s="229" t="s">
        <v>335</v>
      </c>
      <c r="C36" s="192">
        <v>8484.84</v>
      </c>
      <c r="D36" s="161"/>
      <c r="F36" s="189"/>
      <c r="G36" s="177"/>
      <c r="H36" s="165"/>
      <c r="I36" s="229"/>
      <c r="J36" s="164"/>
      <c r="K36" s="160"/>
      <c r="L36" s="179"/>
      <c r="M36" s="182">
        <f>731478.38</f>
        <v>731478.38</v>
      </c>
      <c r="N36" s="159"/>
      <c r="O36" s="135"/>
    </row>
    <row r="37" spans="1:17" x14ac:dyDescent="0.2">
      <c r="A37" s="231"/>
      <c r="B37" s="229"/>
      <c r="C37" s="165">
        <f>SUM(C35:C36)</f>
        <v>12693.29</v>
      </c>
      <c r="D37" s="161">
        <v>26.96</v>
      </c>
      <c r="E37" s="199">
        <f>C37*D37</f>
        <v>342211.09840000002</v>
      </c>
      <c r="F37" s="189"/>
      <c r="G37" s="229" t="s">
        <v>251</v>
      </c>
      <c r="H37" s="165">
        <v>1766.31</v>
      </c>
      <c r="I37" s="161">
        <f>D37</f>
        <v>26.96</v>
      </c>
      <c r="J37" s="164">
        <f>I37*H37</f>
        <v>47619.717600000004</v>
      </c>
      <c r="K37" s="161"/>
      <c r="L37" s="191"/>
      <c r="M37" s="182"/>
      <c r="N37" s="463"/>
      <c r="O37" s="463"/>
    </row>
    <row r="38" spans="1:17" x14ac:dyDescent="0.2">
      <c r="A38" s="231"/>
      <c r="B38" s="229"/>
      <c r="C38" s="165"/>
      <c r="D38" s="161"/>
      <c r="F38" s="189"/>
      <c r="G38" s="229"/>
      <c r="H38" s="165"/>
      <c r="I38" s="161"/>
      <c r="J38" s="164"/>
      <c r="K38" s="160"/>
      <c r="L38" s="179"/>
      <c r="M38" s="182"/>
      <c r="N38" s="463"/>
      <c r="O38" s="463"/>
    </row>
    <row r="39" spans="1:17" x14ac:dyDescent="0.2">
      <c r="A39" s="231">
        <v>1602</v>
      </c>
      <c r="B39" s="229" t="s">
        <v>336</v>
      </c>
      <c r="C39" s="165">
        <f>C12</f>
        <v>3304.66</v>
      </c>
      <c r="D39" s="161">
        <v>5.56</v>
      </c>
      <c r="E39" s="199">
        <f>C39*D39</f>
        <v>18373.909599999999</v>
      </c>
      <c r="F39" s="189"/>
      <c r="G39" s="229" t="s">
        <v>252</v>
      </c>
      <c r="H39" s="165">
        <v>3773.34</v>
      </c>
      <c r="I39" s="161">
        <f>D39</f>
        <v>5.56</v>
      </c>
      <c r="J39" s="164">
        <f>H39*I39</f>
        <v>20979.770399999998</v>
      </c>
      <c r="K39" s="161"/>
      <c r="L39" s="191"/>
      <c r="M39" s="182"/>
      <c r="O39" s="135"/>
    </row>
    <row r="40" spans="1:17" x14ac:dyDescent="0.2">
      <c r="A40" s="231"/>
      <c r="B40" s="229"/>
      <c r="C40" s="165"/>
      <c r="D40" s="161"/>
      <c r="F40" s="189"/>
      <c r="G40" s="229"/>
      <c r="H40" s="165"/>
      <c r="I40" s="161"/>
      <c r="J40" s="164"/>
      <c r="K40" s="160"/>
      <c r="L40" s="179"/>
      <c r="M40" s="182"/>
      <c r="O40" s="135"/>
    </row>
    <row r="41" spans="1:17" x14ac:dyDescent="0.2">
      <c r="A41" s="231">
        <v>1606</v>
      </c>
      <c r="B41" s="229" t="s">
        <v>337</v>
      </c>
      <c r="C41" s="165">
        <v>227.22</v>
      </c>
      <c r="D41" s="171">
        <v>35.89</v>
      </c>
      <c r="E41" s="293">
        <f>C41*D41</f>
        <v>8154.9258</v>
      </c>
      <c r="F41" s="189"/>
      <c r="G41" s="229" t="s">
        <v>255</v>
      </c>
      <c r="H41" s="165">
        <v>249.49</v>
      </c>
      <c r="I41" s="161">
        <f>D41</f>
        <v>35.89</v>
      </c>
      <c r="J41" s="172">
        <f>I41*H41</f>
        <v>8954.196100000001</v>
      </c>
      <c r="K41" s="161"/>
      <c r="L41" s="191"/>
      <c r="M41" s="182"/>
      <c r="N41" s="135" t="s">
        <v>261</v>
      </c>
      <c r="O41" s="159" t="s">
        <v>262</v>
      </c>
    </row>
    <row r="42" spans="1:17" x14ac:dyDescent="0.2">
      <c r="A42" s="231"/>
      <c r="B42" s="229"/>
      <c r="C42" s="232"/>
      <c r="D42" s="161"/>
      <c r="E42" s="161">
        <f>SUM(E33:E41)</f>
        <v>640134.37140000006</v>
      </c>
      <c r="F42" s="189"/>
      <c r="G42" s="177"/>
      <c r="I42" s="229"/>
      <c r="J42" s="164">
        <f>SUM(J33:J41)</f>
        <v>140792.86902000001</v>
      </c>
      <c r="K42" s="161"/>
      <c r="L42" s="179"/>
      <c r="M42" s="182">
        <f>E42+J42</f>
        <v>780927.24042000005</v>
      </c>
      <c r="N42" s="135">
        <f>E42/M42</f>
        <v>0.81971064430499507</v>
      </c>
      <c r="O42" s="135">
        <f>J42/M42</f>
        <v>0.18028935569500493</v>
      </c>
    </row>
    <row r="43" spans="1:17" x14ac:dyDescent="0.2">
      <c r="A43" s="231"/>
      <c r="B43" s="232"/>
      <c r="C43" s="232"/>
      <c r="D43" s="161"/>
      <c r="E43" s="161"/>
      <c r="F43" s="189"/>
      <c r="G43" s="177"/>
      <c r="I43" s="229"/>
      <c r="J43" s="164"/>
      <c r="K43" s="161"/>
      <c r="L43" s="179"/>
      <c r="M43" s="171">
        <f>-M47</f>
        <v>-666622.30000000005</v>
      </c>
      <c r="O43" s="135"/>
    </row>
    <row r="44" spans="1:17" x14ac:dyDescent="0.2">
      <c r="A44" s="231">
        <v>1603</v>
      </c>
      <c r="B44" s="229" t="s">
        <v>253</v>
      </c>
      <c r="C44" s="232">
        <v>237.04</v>
      </c>
      <c r="D44" s="161"/>
      <c r="E44" s="232"/>
      <c r="F44" s="188"/>
      <c r="G44" s="232"/>
      <c r="H44" s="232"/>
      <c r="I44" s="232"/>
      <c r="J44" s="194"/>
      <c r="K44" s="161"/>
      <c r="L44" s="179"/>
      <c r="M44" s="182">
        <f>SUM(M42:M43)</f>
        <v>114304.94042</v>
      </c>
      <c r="N44" s="159">
        <f>M44*N42</f>
        <v>93696.976358922271</v>
      </c>
      <c r="O44" s="159">
        <f>O42*M44</f>
        <v>20607.964061077724</v>
      </c>
      <c r="P44" s="159">
        <f>SUM(N44:O44)</f>
        <v>114304.94042</v>
      </c>
    </row>
    <row r="45" spans="1:17" x14ac:dyDescent="0.2">
      <c r="A45" s="231">
        <v>1605</v>
      </c>
      <c r="B45" s="229" t="s">
        <v>253</v>
      </c>
      <c r="C45" s="195">
        <v>258.77999999999997</v>
      </c>
      <c r="D45" s="161"/>
      <c r="E45" s="232"/>
      <c r="F45" s="188"/>
      <c r="G45" s="232"/>
      <c r="H45" s="232"/>
      <c r="I45" s="232"/>
      <c r="J45" s="194"/>
      <c r="K45" s="161"/>
      <c r="L45" s="179"/>
      <c r="M45" s="182" t="s">
        <v>344</v>
      </c>
      <c r="O45" s="135"/>
    </row>
    <row r="46" spans="1:17" ht="13.5" thickBot="1" x14ac:dyDescent="0.25">
      <c r="A46" s="231"/>
      <c r="B46" s="232"/>
      <c r="C46" s="232">
        <f>SUM(C44:C45)</f>
        <v>495.81999999999994</v>
      </c>
      <c r="D46" s="161"/>
      <c r="E46" s="232"/>
      <c r="F46" s="188"/>
      <c r="G46" s="232"/>
      <c r="H46" s="232"/>
      <c r="I46" s="232"/>
      <c r="J46" s="194"/>
      <c r="K46" s="161">
        <f>SUM(E48:J48)</f>
        <v>-114304.94042</v>
      </c>
      <c r="L46" s="179" t="s">
        <v>338</v>
      </c>
      <c r="M46" s="277">
        <v>731478.38</v>
      </c>
      <c r="N46" s="135" t="s">
        <v>568</v>
      </c>
      <c r="O46" s="135"/>
    </row>
    <row r="47" spans="1:17" x14ac:dyDescent="0.2">
      <c r="A47" s="231"/>
      <c r="B47" s="232"/>
      <c r="C47" s="232"/>
      <c r="D47" s="161"/>
      <c r="E47" s="289">
        <f>E42</f>
        <v>640134.37140000006</v>
      </c>
      <c r="F47" s="188"/>
      <c r="G47" s="232"/>
      <c r="H47" s="232"/>
      <c r="I47" s="232"/>
      <c r="J47" s="289">
        <f>J42</f>
        <v>140792.86902000001</v>
      </c>
      <c r="K47" s="161">
        <f>SUM(E49:J49)</f>
        <v>666622.30000000005</v>
      </c>
      <c r="L47" s="179" t="s">
        <v>339</v>
      </c>
      <c r="M47" s="464">
        <v>666622.30000000005</v>
      </c>
      <c r="N47" s="282" t="s">
        <v>569</v>
      </c>
      <c r="O47" s="282"/>
      <c r="P47" s="282"/>
      <c r="Q47" s="282"/>
    </row>
    <row r="48" spans="1:17" x14ac:dyDescent="0.2">
      <c r="A48" s="228"/>
      <c r="B48" s="229"/>
      <c r="C48" s="229"/>
      <c r="D48" s="161"/>
      <c r="E48" s="288">
        <f>-N44</f>
        <v>-93696.976358922271</v>
      </c>
      <c r="F48" s="189"/>
      <c r="G48" s="177"/>
      <c r="H48" s="229"/>
      <c r="I48" s="229"/>
      <c r="J48" s="288">
        <f>-O44</f>
        <v>-20607.964061077724</v>
      </c>
      <c r="K48" s="161">
        <f>E50+J50</f>
        <v>0</v>
      </c>
      <c r="L48" s="179"/>
      <c r="M48" s="182">
        <f>M46-M47</f>
        <v>64856.079999999958</v>
      </c>
      <c r="N48" s="159"/>
      <c r="O48" s="135"/>
    </row>
    <row r="49" spans="1:15" ht="13.5" thickBot="1" x14ac:dyDescent="0.25">
      <c r="A49" s="196" t="s">
        <v>570</v>
      </c>
      <c r="B49" s="161">
        <f>E49+J49</f>
        <v>666622.30000000005</v>
      </c>
      <c r="C49" s="229"/>
      <c r="D49" s="161"/>
      <c r="E49" s="287">
        <f>SUM(E47:E48)</f>
        <v>546437.39504107775</v>
      </c>
      <c r="F49" s="189"/>
      <c r="G49" s="198"/>
      <c r="H49" s="229"/>
      <c r="I49" s="229"/>
      <c r="J49" s="287">
        <f>SUM(J47:J48)</f>
        <v>120184.90495892229</v>
      </c>
      <c r="K49" s="199"/>
    </row>
    <row r="50" spans="1:15" x14ac:dyDescent="0.2">
      <c r="A50" s="564" t="s">
        <v>340</v>
      </c>
      <c r="B50" s="565"/>
      <c r="C50" s="165">
        <f>C33+C37+C39+C41</f>
        <v>20006.09</v>
      </c>
      <c r="D50" s="161"/>
      <c r="E50" s="2"/>
      <c r="F50" s="189"/>
      <c r="J50" s="294"/>
    </row>
    <row r="51" spans="1:15" x14ac:dyDescent="0.2">
      <c r="A51" s="231" t="s">
        <v>342</v>
      </c>
      <c r="B51" s="232"/>
      <c r="C51" s="165">
        <f>C50+J51</f>
        <v>26676.243999999999</v>
      </c>
      <c r="D51" s="161"/>
      <c r="E51" s="2"/>
      <c r="F51" s="189"/>
      <c r="G51" s="565" t="s">
        <v>341</v>
      </c>
      <c r="H51" s="565"/>
      <c r="I51" s="565"/>
      <c r="J51" s="200">
        <f>H4+H8+H12+H14</f>
        <v>6670.1540000000005</v>
      </c>
      <c r="K51" s="161"/>
      <c r="L51" s="179"/>
      <c r="M51" s="182"/>
      <c r="O51" s="135"/>
    </row>
    <row r="52" spans="1:15" ht="13.5" thickBot="1" x14ac:dyDescent="0.25">
      <c r="A52" s="201" t="s">
        <v>374</v>
      </c>
      <c r="B52" s="184"/>
      <c r="C52" s="184"/>
      <c r="D52" s="185"/>
      <c r="E52" s="185"/>
      <c r="F52" s="185"/>
      <c r="G52" s="202"/>
      <c r="H52" s="184"/>
      <c r="I52" s="184"/>
      <c r="J52" s="203"/>
      <c r="K52" s="161"/>
      <c r="L52" s="179"/>
      <c r="M52" s="182"/>
      <c r="O52" s="135"/>
    </row>
    <row r="53" spans="1:15" x14ac:dyDescent="0.2">
      <c r="K53" s="159"/>
      <c r="L53" s="135"/>
      <c r="O53" s="135"/>
    </row>
    <row r="54" spans="1:15" ht="13.5" thickBot="1" x14ac:dyDescent="0.25">
      <c r="K54" s="159"/>
      <c r="L54" s="135"/>
      <c r="O54" s="135"/>
    </row>
    <row r="55" spans="1:15" x14ac:dyDescent="0.2">
      <c r="A55" s="566" t="s">
        <v>571</v>
      </c>
      <c r="B55" s="567"/>
      <c r="C55" s="567"/>
      <c r="D55" s="567"/>
      <c r="E55" s="567"/>
      <c r="F55" s="567"/>
      <c r="G55" s="567"/>
      <c r="H55" s="567"/>
      <c r="I55" s="567"/>
      <c r="J55" s="568"/>
      <c r="K55" s="182"/>
      <c r="L55" s="135"/>
      <c r="O55" s="135"/>
    </row>
    <row r="56" spans="1:15" x14ac:dyDescent="0.2">
      <c r="A56" s="228" t="s">
        <v>261</v>
      </c>
      <c r="B56" s="229"/>
      <c r="C56" s="229" t="s">
        <v>329</v>
      </c>
      <c r="D56" s="229"/>
      <c r="E56" s="229"/>
      <c r="F56" s="229"/>
      <c r="G56" s="229" t="s">
        <v>262</v>
      </c>
      <c r="H56" s="229" t="s">
        <v>329</v>
      </c>
      <c r="I56" s="229"/>
      <c r="J56" s="230"/>
      <c r="K56" s="1"/>
      <c r="L56" s="135"/>
      <c r="O56" s="135"/>
    </row>
    <row r="57" spans="1:15" x14ac:dyDescent="0.2">
      <c r="A57" s="231"/>
      <c r="B57" s="229"/>
      <c r="C57" s="232" t="s">
        <v>329</v>
      </c>
      <c r="D57" s="161" t="s">
        <v>330</v>
      </c>
      <c r="E57" s="232" t="s">
        <v>258</v>
      </c>
      <c r="F57" s="188"/>
      <c r="G57" s="232"/>
      <c r="H57" s="232" t="s">
        <v>329</v>
      </c>
      <c r="I57" s="232" t="s">
        <v>330</v>
      </c>
      <c r="J57" s="230" t="s">
        <v>258</v>
      </c>
      <c r="K57" s="1"/>
      <c r="L57" s="135"/>
      <c r="O57" s="135"/>
    </row>
    <row r="58" spans="1:15" x14ac:dyDescent="0.2">
      <c r="A58" s="231">
        <v>16</v>
      </c>
      <c r="B58" s="229" t="s">
        <v>333</v>
      </c>
      <c r="C58" s="165">
        <f>C4</f>
        <v>3356.61</v>
      </c>
      <c r="D58" s="161"/>
      <c r="E58" s="161"/>
      <c r="F58" s="189"/>
      <c r="G58" s="229"/>
      <c r="H58" s="229"/>
      <c r="I58" s="229"/>
      <c r="J58" s="230"/>
      <c r="K58" s="182"/>
      <c r="L58" s="135"/>
      <c r="O58" s="135"/>
    </row>
    <row r="59" spans="1:15" x14ac:dyDescent="0.2">
      <c r="A59" s="231">
        <v>18</v>
      </c>
      <c r="B59" s="229" t="s">
        <v>333</v>
      </c>
      <c r="C59" s="190">
        <f>C5</f>
        <v>424.31</v>
      </c>
      <c r="D59" s="161"/>
      <c r="E59" s="161"/>
      <c r="F59" s="189"/>
      <c r="G59" s="177"/>
      <c r="H59" s="229"/>
      <c r="I59" s="229"/>
      <c r="J59" s="230"/>
      <c r="K59" s="182"/>
      <c r="L59" s="135"/>
      <c r="O59" s="135"/>
    </row>
    <row r="60" spans="1:15" x14ac:dyDescent="0.2">
      <c r="A60" s="231"/>
      <c r="B60" s="229"/>
      <c r="C60" s="165">
        <f>SUM(C58:C59)</f>
        <v>3780.92</v>
      </c>
      <c r="D60" s="161">
        <v>77.59</v>
      </c>
      <c r="E60" s="161">
        <f>D60*C60</f>
        <v>293361.58280000003</v>
      </c>
      <c r="F60" s="189"/>
      <c r="G60" s="229" t="s">
        <v>249</v>
      </c>
      <c r="H60" s="232">
        <v>806.69</v>
      </c>
      <c r="I60" s="161">
        <f>D60</f>
        <v>77.59</v>
      </c>
      <c r="J60" s="164">
        <f>I60*H60</f>
        <v>62591.07710000001</v>
      </c>
      <c r="K60" s="182"/>
      <c r="L60" s="135"/>
      <c r="O60" s="135"/>
    </row>
    <row r="61" spans="1:15" x14ac:dyDescent="0.2">
      <c r="A61" s="231"/>
      <c r="B61" s="229"/>
      <c r="C61" s="165"/>
      <c r="D61" s="161"/>
      <c r="E61" s="161"/>
      <c r="F61" s="189"/>
      <c r="G61" s="229"/>
      <c r="H61" s="232"/>
      <c r="I61" s="161"/>
      <c r="J61" s="164"/>
      <c r="K61" s="182"/>
      <c r="L61" s="135"/>
      <c r="O61" s="135"/>
    </row>
    <row r="62" spans="1:15" x14ac:dyDescent="0.2">
      <c r="A62" s="231">
        <v>1601</v>
      </c>
      <c r="B62" s="229" t="s">
        <v>334</v>
      </c>
      <c r="C62" s="165">
        <v>4208.45</v>
      </c>
      <c r="D62" s="161"/>
      <c r="E62" s="161"/>
      <c r="F62" s="189"/>
      <c r="G62" s="229"/>
      <c r="H62" s="165"/>
      <c r="I62" s="161"/>
      <c r="J62" s="164"/>
      <c r="K62" s="182"/>
      <c r="L62" s="135"/>
      <c r="O62" s="135"/>
    </row>
    <row r="63" spans="1:15" x14ac:dyDescent="0.2">
      <c r="A63" s="231">
        <v>1604</v>
      </c>
      <c r="B63" s="229" t="s">
        <v>335</v>
      </c>
      <c r="C63" s="192">
        <v>8484.84</v>
      </c>
      <c r="D63" s="161"/>
      <c r="E63" s="161"/>
      <c r="F63" s="189"/>
      <c r="G63" s="177"/>
      <c r="H63" s="165"/>
      <c r="I63" s="229"/>
      <c r="J63" s="164"/>
      <c r="K63" s="182"/>
      <c r="L63" s="135"/>
      <c r="N63" s="135" t="s">
        <v>261</v>
      </c>
      <c r="O63" s="159" t="s">
        <v>262</v>
      </c>
    </row>
    <row r="64" spans="1:15" x14ac:dyDescent="0.2">
      <c r="A64" s="231"/>
      <c r="B64" s="229"/>
      <c r="C64" s="165">
        <f>SUM(C62:C63)</f>
        <v>12693.29</v>
      </c>
      <c r="D64" s="161">
        <v>28.46</v>
      </c>
      <c r="E64" s="161">
        <f>D64*C64</f>
        <v>361251.03340000001</v>
      </c>
      <c r="F64" s="189"/>
      <c r="G64" s="229" t="s">
        <v>251</v>
      </c>
      <c r="H64" s="165">
        <v>1766.31</v>
      </c>
      <c r="I64" s="161">
        <f>D64</f>
        <v>28.46</v>
      </c>
      <c r="J64" s="164">
        <f>I64*H64</f>
        <v>50269.1826</v>
      </c>
      <c r="K64" s="182"/>
      <c r="L64" s="135"/>
      <c r="M64" s="159">
        <f>K69</f>
        <v>827867.94915000012</v>
      </c>
      <c r="N64" s="135">
        <f>E69/K69</f>
        <v>0.82499938885331825</v>
      </c>
      <c r="O64" s="135">
        <f>J69/K69</f>
        <v>0.17500061114668167</v>
      </c>
    </row>
    <row r="65" spans="1:16" x14ac:dyDescent="0.2">
      <c r="A65" s="231"/>
      <c r="B65" s="229"/>
      <c r="C65" s="165"/>
      <c r="D65" s="161"/>
      <c r="E65" s="161"/>
      <c r="F65" s="189"/>
      <c r="G65" s="229"/>
      <c r="H65" s="165"/>
      <c r="I65" s="161"/>
      <c r="J65" s="164"/>
      <c r="K65" s="182"/>
      <c r="L65" s="135"/>
      <c r="M65" s="290">
        <f>-M69</f>
        <v>-771978.38</v>
      </c>
      <c r="O65" s="135"/>
    </row>
    <row r="66" spans="1:16" x14ac:dyDescent="0.2">
      <c r="A66" s="231">
        <v>1602</v>
      </c>
      <c r="B66" s="229" t="s">
        <v>336</v>
      </c>
      <c r="C66" s="165">
        <v>3304.55</v>
      </c>
      <c r="D66" s="161">
        <v>5.92</v>
      </c>
      <c r="E66" s="161">
        <f>D66*C66</f>
        <v>19562.936000000002</v>
      </c>
      <c r="F66" s="189"/>
      <c r="G66" s="229" t="s">
        <v>252</v>
      </c>
      <c r="H66" s="165">
        <v>3773.34</v>
      </c>
      <c r="I66" s="161">
        <f>D66</f>
        <v>5.92</v>
      </c>
      <c r="J66" s="164">
        <f>H66*I66</f>
        <v>22338.1728</v>
      </c>
      <c r="K66" s="182"/>
      <c r="L66" s="135"/>
      <c r="M66" s="159">
        <f>SUM(M64:M65)</f>
        <v>55889.569150000112</v>
      </c>
      <c r="N66" s="159">
        <f>M66*N64</f>
        <v>46108.860392025359</v>
      </c>
      <c r="O66" s="159">
        <f>M66*O64</f>
        <v>9780.7087579747458</v>
      </c>
      <c r="P66" s="159">
        <f>SUM(N66:O66)</f>
        <v>55889.569150000105</v>
      </c>
    </row>
    <row r="67" spans="1:16" x14ac:dyDescent="0.2">
      <c r="A67" s="231"/>
      <c r="B67" s="229"/>
      <c r="C67" s="165"/>
      <c r="D67" s="161"/>
      <c r="E67" s="161"/>
      <c r="F67" s="189"/>
      <c r="G67" s="229"/>
      <c r="H67" s="165"/>
      <c r="I67" s="161"/>
      <c r="J67" s="164"/>
      <c r="K67" s="182"/>
      <c r="L67" s="135"/>
      <c r="O67" s="135"/>
    </row>
    <row r="68" spans="1:16" x14ac:dyDescent="0.2">
      <c r="A68" s="231">
        <v>1606</v>
      </c>
      <c r="B68" s="229" t="s">
        <v>337</v>
      </c>
      <c r="C68" s="165">
        <v>227.22</v>
      </c>
      <c r="D68" s="161">
        <f>D60/2</f>
        <v>38.795000000000002</v>
      </c>
      <c r="E68" s="171">
        <f>D68*C68</f>
        <v>8814.9999000000007</v>
      </c>
      <c r="F68" s="189"/>
      <c r="G68" s="229" t="s">
        <v>255</v>
      </c>
      <c r="H68" s="165">
        <v>249.49</v>
      </c>
      <c r="I68" s="161">
        <f>D68</f>
        <v>38.795000000000002</v>
      </c>
      <c r="J68" s="172">
        <f>I68*H68</f>
        <v>9678.9645500000006</v>
      </c>
      <c r="K68" s="182"/>
      <c r="L68" s="135"/>
      <c r="M68" s="159">
        <v>698647.3</v>
      </c>
      <c r="N68" s="135" t="s">
        <v>568</v>
      </c>
      <c r="O68" s="135"/>
    </row>
    <row r="69" spans="1:16" x14ac:dyDescent="0.2">
      <c r="A69" s="231"/>
      <c r="B69" s="229"/>
      <c r="C69" s="232"/>
      <c r="D69" s="161"/>
      <c r="E69" s="161">
        <f>SUM(E60:E68)</f>
        <v>682990.55210000009</v>
      </c>
      <c r="F69" s="189"/>
      <c r="G69" s="177"/>
      <c r="I69" s="229"/>
      <c r="J69" s="164">
        <f>SUM(J60:J68)</f>
        <v>144877.39705</v>
      </c>
      <c r="K69" s="182">
        <f>E69+J69</f>
        <v>827867.94915000012</v>
      </c>
      <c r="L69" s="135"/>
      <c r="M69" s="159">
        <v>771978.38</v>
      </c>
      <c r="N69" s="282" t="s">
        <v>569</v>
      </c>
      <c r="O69" s="135"/>
    </row>
    <row r="70" spans="1:16" x14ac:dyDescent="0.2">
      <c r="A70" s="231"/>
      <c r="B70" s="232"/>
      <c r="C70" s="232"/>
      <c r="D70" s="161"/>
      <c r="E70" s="161"/>
      <c r="F70" s="189"/>
      <c r="G70" s="177"/>
      <c r="I70" s="229"/>
      <c r="J70" s="164"/>
      <c r="K70" s="182"/>
      <c r="L70" s="135"/>
      <c r="O70" s="135"/>
    </row>
    <row r="71" spans="1:16" x14ac:dyDescent="0.2">
      <c r="A71" s="231">
        <v>1603</v>
      </c>
      <c r="B71" s="229" t="s">
        <v>253</v>
      </c>
      <c r="C71" s="232">
        <v>237.04</v>
      </c>
      <c r="D71" s="161"/>
      <c r="E71" s="232"/>
      <c r="F71" s="188"/>
      <c r="G71" s="232"/>
      <c r="H71" s="232"/>
      <c r="I71" s="232"/>
      <c r="J71" s="194"/>
      <c r="K71" s="182"/>
      <c r="L71" s="135"/>
      <c r="O71" s="135"/>
    </row>
    <row r="72" spans="1:16" x14ac:dyDescent="0.2">
      <c r="A72" s="231">
        <v>1605</v>
      </c>
      <c r="B72" s="229" t="s">
        <v>253</v>
      </c>
      <c r="C72" s="195">
        <v>258.77999999999997</v>
      </c>
      <c r="D72" s="161"/>
      <c r="E72" s="232"/>
      <c r="F72" s="188"/>
      <c r="G72" s="232"/>
      <c r="H72" s="232"/>
      <c r="I72" s="232"/>
      <c r="J72" s="194"/>
      <c r="K72" s="161"/>
      <c r="L72" s="179"/>
      <c r="M72" s="182"/>
      <c r="O72" s="135"/>
    </row>
    <row r="73" spans="1:16" ht="13.5" thickBot="1" x14ac:dyDescent="0.25">
      <c r="A73" s="231"/>
      <c r="B73" s="232"/>
      <c r="C73" s="232">
        <f>SUM(C71:C72)</f>
        <v>495.81999999999994</v>
      </c>
      <c r="D73" s="161"/>
      <c r="E73" s="232"/>
      <c r="F73" s="188"/>
      <c r="G73" s="232"/>
      <c r="H73" s="232"/>
      <c r="I73" s="232"/>
      <c r="J73" s="194"/>
      <c r="K73" s="161"/>
      <c r="L73" s="179"/>
      <c r="M73" s="182"/>
      <c r="O73" s="135"/>
    </row>
    <row r="74" spans="1:16" x14ac:dyDescent="0.2">
      <c r="A74" s="231"/>
      <c r="B74" s="232"/>
      <c r="C74" s="232"/>
      <c r="D74" s="161"/>
      <c r="E74" s="289">
        <f>E69</f>
        <v>682990.55210000009</v>
      </c>
      <c r="F74" s="188"/>
      <c r="G74" s="232"/>
      <c r="H74" s="232"/>
      <c r="I74" s="232"/>
      <c r="J74" s="289">
        <f>J69</f>
        <v>144877.39705</v>
      </c>
      <c r="K74" s="161"/>
      <c r="L74" s="179"/>
      <c r="M74" s="182"/>
      <c r="O74" s="135"/>
    </row>
    <row r="75" spans="1:16" x14ac:dyDescent="0.2">
      <c r="A75" s="228"/>
      <c r="B75" s="229"/>
      <c r="C75" s="229"/>
      <c r="D75" s="161"/>
      <c r="E75" s="288">
        <f>-N66</f>
        <v>-46108.860392025359</v>
      </c>
      <c r="F75" s="189"/>
      <c r="G75" s="177"/>
      <c r="H75" s="229"/>
      <c r="I75" s="229"/>
      <c r="J75" s="288">
        <f>-O66</f>
        <v>-9780.7087579747458</v>
      </c>
      <c r="K75" s="161"/>
      <c r="L75" s="179"/>
      <c r="M75" s="135"/>
      <c r="O75" s="135"/>
    </row>
    <row r="76" spans="1:16" ht="13.5" thickBot="1" x14ac:dyDescent="0.25">
      <c r="A76" s="196" t="s">
        <v>570</v>
      </c>
      <c r="B76" s="161">
        <f>E76+J76</f>
        <v>771978.38</v>
      </c>
      <c r="C76" s="229"/>
      <c r="D76" s="161"/>
      <c r="E76" s="287">
        <f>SUM(E74:E75)</f>
        <v>636881.69170797477</v>
      </c>
      <c r="F76" s="189"/>
      <c r="G76" s="198"/>
      <c r="H76" s="229"/>
      <c r="I76" s="229"/>
      <c r="J76" s="287">
        <f>SUM(J74:J75)</f>
        <v>135096.68829202524</v>
      </c>
      <c r="K76" s="161"/>
      <c r="L76" s="179"/>
      <c r="M76" s="182"/>
      <c r="O76" s="135"/>
    </row>
    <row r="77" spans="1:16" x14ac:dyDescent="0.2">
      <c r="A77" s="564" t="s">
        <v>340</v>
      </c>
      <c r="B77" s="565"/>
      <c r="C77" s="165">
        <f>C24</f>
        <v>20006.09</v>
      </c>
      <c r="D77" s="161"/>
      <c r="E77" s="2"/>
      <c r="F77" s="189"/>
      <c r="J77" s="294"/>
      <c r="K77" s="161"/>
      <c r="L77" s="179"/>
      <c r="M77" s="182"/>
      <c r="O77" s="135"/>
    </row>
    <row r="78" spans="1:16" x14ac:dyDescent="0.2">
      <c r="A78" s="231" t="s">
        <v>342</v>
      </c>
      <c r="B78" s="232"/>
      <c r="C78" s="165">
        <f>C77+J78</f>
        <v>26676.243999999999</v>
      </c>
      <c r="D78" s="161"/>
      <c r="E78" s="2"/>
      <c r="F78" s="189"/>
      <c r="G78" s="565" t="s">
        <v>341</v>
      </c>
      <c r="H78" s="565"/>
      <c r="I78" s="565"/>
      <c r="J78" s="200">
        <f>J24</f>
        <v>6670.1540000000005</v>
      </c>
      <c r="K78" s="161"/>
      <c r="L78" s="179"/>
      <c r="M78" s="182"/>
      <c r="O78" s="135"/>
    </row>
    <row r="79" spans="1:16" ht="13.5" thickBot="1" x14ac:dyDescent="0.25">
      <c r="A79" s="201" t="s">
        <v>374</v>
      </c>
      <c r="B79" s="184"/>
      <c r="C79" s="184"/>
      <c r="D79" s="185"/>
      <c r="E79" s="185"/>
      <c r="F79" s="185"/>
      <c r="G79" s="202"/>
      <c r="H79" s="184"/>
      <c r="I79" s="184"/>
      <c r="J79" s="203"/>
      <c r="K79" s="161"/>
      <c r="L79" s="179"/>
      <c r="M79" s="182"/>
      <c r="O79" s="135"/>
    </row>
    <row r="97" spans="1:15" ht="2.25" customHeight="1" x14ac:dyDescent="0.2"/>
    <row r="99" spans="1:15" ht="13.5" thickBot="1" x14ac:dyDescent="0.25">
      <c r="K99" s="159"/>
      <c r="L99" s="135"/>
      <c r="M99" s="135"/>
      <c r="O99" s="135"/>
    </row>
    <row r="100" spans="1:15" x14ac:dyDescent="0.2">
      <c r="A100" s="566" t="s">
        <v>345</v>
      </c>
      <c r="B100" s="567"/>
      <c r="C100" s="567"/>
      <c r="D100" s="567"/>
      <c r="E100" s="567"/>
      <c r="F100" s="567"/>
      <c r="G100" s="567"/>
      <c r="H100" s="567"/>
      <c r="I100" s="567"/>
      <c r="J100" s="568"/>
      <c r="K100" s="135"/>
      <c r="L100" s="135"/>
      <c r="M100" s="135"/>
      <c r="O100" s="135"/>
    </row>
    <row r="101" spans="1:15" x14ac:dyDescent="0.2">
      <c r="A101" s="555" t="s">
        <v>261</v>
      </c>
      <c r="B101" s="556"/>
      <c r="C101" s="556"/>
      <c r="D101" s="556"/>
      <c r="E101" s="556"/>
      <c r="F101" s="229"/>
      <c r="G101" s="556" t="s">
        <v>262</v>
      </c>
      <c r="H101" s="556"/>
      <c r="I101" s="556"/>
      <c r="J101" s="563"/>
      <c r="K101" s="135"/>
      <c r="L101" s="135"/>
      <c r="M101" s="135"/>
      <c r="O101" s="135"/>
    </row>
    <row r="102" spans="1:15" x14ac:dyDescent="0.2">
      <c r="A102" s="228"/>
      <c r="B102" s="229"/>
      <c r="C102" s="229" t="s">
        <v>329</v>
      </c>
      <c r="D102" s="161" t="s">
        <v>330</v>
      </c>
      <c r="E102" s="229" t="s">
        <v>258</v>
      </c>
      <c r="F102" s="229"/>
      <c r="G102" s="229"/>
      <c r="H102" s="229" t="s">
        <v>329</v>
      </c>
      <c r="I102" s="229" t="s">
        <v>330</v>
      </c>
      <c r="J102" s="230" t="s">
        <v>258</v>
      </c>
      <c r="K102" s="135"/>
      <c r="L102" s="135"/>
      <c r="M102" s="135"/>
      <c r="O102" s="135"/>
    </row>
    <row r="103" spans="1:15" x14ac:dyDescent="0.2">
      <c r="A103" s="228">
        <v>16</v>
      </c>
      <c r="B103" s="229" t="s">
        <v>333</v>
      </c>
      <c r="C103" s="163">
        <v>3356.61</v>
      </c>
      <c r="D103" s="197"/>
      <c r="E103" s="161"/>
      <c r="F103" s="161"/>
      <c r="G103" s="229" t="s">
        <v>249</v>
      </c>
      <c r="H103" s="209">
        <v>881.01400000000001</v>
      </c>
      <c r="I103" s="161">
        <f>D103</f>
        <v>0</v>
      </c>
      <c r="J103" s="164">
        <f>H103*I103</f>
        <v>0</v>
      </c>
      <c r="K103" s="135"/>
      <c r="L103" s="135"/>
      <c r="M103" s="135"/>
      <c r="O103" s="135"/>
    </row>
    <row r="104" spans="1:15" x14ac:dyDescent="0.2">
      <c r="A104" s="228">
        <v>18</v>
      </c>
      <c r="B104" s="229" t="s">
        <v>333</v>
      </c>
      <c r="C104" s="167">
        <v>424.31</v>
      </c>
      <c r="D104" s="197"/>
      <c r="E104" s="161"/>
      <c r="F104" s="161"/>
      <c r="G104" s="229"/>
      <c r="H104" s="229"/>
      <c r="I104" s="161"/>
      <c r="J104" s="230"/>
      <c r="K104" s="135"/>
      <c r="L104" s="135"/>
      <c r="M104" s="135"/>
      <c r="O104" s="135"/>
    </row>
    <row r="105" spans="1:15" x14ac:dyDescent="0.2">
      <c r="A105" s="228"/>
      <c r="B105" s="229"/>
      <c r="C105" s="163">
        <f>SUM(C103:C104)</f>
        <v>3780.92</v>
      </c>
      <c r="D105" s="161"/>
      <c r="E105" s="161">
        <f>C105*D103</f>
        <v>0</v>
      </c>
      <c r="F105" s="161"/>
      <c r="G105" s="229"/>
      <c r="H105" s="163"/>
      <c r="I105" s="161"/>
      <c r="J105" s="230"/>
      <c r="K105" s="135"/>
      <c r="L105" s="135"/>
      <c r="M105" s="135"/>
      <c r="O105" s="135"/>
    </row>
    <row r="106" spans="1:15" x14ac:dyDescent="0.2">
      <c r="A106" s="228"/>
      <c r="B106" s="229"/>
      <c r="C106" s="163"/>
      <c r="D106" s="161"/>
      <c r="E106" s="161"/>
      <c r="F106" s="161"/>
      <c r="G106" s="229"/>
      <c r="H106" s="163"/>
      <c r="I106" s="161"/>
      <c r="J106" s="230"/>
      <c r="K106" s="135"/>
      <c r="L106" s="135"/>
      <c r="M106" s="135"/>
      <c r="O106" s="135"/>
    </row>
    <row r="107" spans="1:15" x14ac:dyDescent="0.2">
      <c r="A107" s="228">
        <v>1601</v>
      </c>
      <c r="B107" s="229" t="s">
        <v>334</v>
      </c>
      <c r="C107" s="163">
        <v>4208.45</v>
      </c>
      <c r="D107" s="197"/>
      <c r="E107" s="161"/>
      <c r="F107" s="161"/>
      <c r="G107" s="229" t="s">
        <v>251</v>
      </c>
      <c r="H107" s="210">
        <v>1766.31</v>
      </c>
      <c r="I107" s="161">
        <f>D107</f>
        <v>0</v>
      </c>
      <c r="J107" s="164">
        <f>H107*I107</f>
        <v>0</v>
      </c>
      <c r="K107" s="135"/>
      <c r="L107" s="135"/>
      <c r="M107" s="135"/>
      <c r="O107" s="135"/>
    </row>
    <row r="108" spans="1:15" x14ac:dyDescent="0.2">
      <c r="A108" s="228">
        <v>1604</v>
      </c>
      <c r="B108" s="229" t="s">
        <v>335</v>
      </c>
      <c r="C108" s="169">
        <v>8484.84</v>
      </c>
      <c r="D108" s="197"/>
      <c r="E108" s="161"/>
      <c r="F108" s="161"/>
      <c r="G108" s="229"/>
      <c r="H108" s="163"/>
      <c r="I108" s="161"/>
      <c r="J108" s="230"/>
      <c r="K108" s="135"/>
      <c r="L108" s="135"/>
      <c r="M108" s="135"/>
      <c r="O108" s="135"/>
    </row>
    <row r="109" spans="1:15" x14ac:dyDescent="0.2">
      <c r="A109" s="228"/>
      <c r="B109" s="229"/>
      <c r="C109" s="163">
        <f>SUM(C107:C108)</f>
        <v>12693.29</v>
      </c>
      <c r="D109" s="161"/>
      <c r="E109" s="161">
        <f>C109*D107</f>
        <v>0</v>
      </c>
      <c r="F109" s="161"/>
      <c r="G109" s="229"/>
      <c r="H109" s="163"/>
      <c r="I109" s="161"/>
      <c r="J109" s="230"/>
      <c r="K109" s="135"/>
      <c r="L109" s="135"/>
      <c r="M109" s="135"/>
      <c r="O109" s="135"/>
    </row>
    <row r="110" spans="1:15" x14ac:dyDescent="0.2">
      <c r="A110" s="228"/>
      <c r="B110" s="229"/>
      <c r="C110" s="163"/>
      <c r="D110" s="161"/>
      <c r="E110" s="161"/>
      <c r="F110" s="161"/>
      <c r="G110" s="229"/>
      <c r="H110" s="163"/>
      <c r="I110" s="161"/>
      <c r="J110" s="230"/>
      <c r="K110" s="135"/>
      <c r="L110" s="135"/>
      <c r="M110" s="135"/>
      <c r="O110" s="135"/>
    </row>
    <row r="111" spans="1:15" x14ac:dyDescent="0.2">
      <c r="A111" s="228">
        <v>1602</v>
      </c>
      <c r="B111" s="229" t="s">
        <v>336</v>
      </c>
      <c r="C111" s="163">
        <v>3304.66</v>
      </c>
      <c r="D111" s="197"/>
      <c r="E111" s="161">
        <f>C111*D111</f>
        <v>0</v>
      </c>
      <c r="F111" s="161"/>
      <c r="G111" s="229" t="s">
        <v>252</v>
      </c>
      <c r="H111" s="210">
        <v>3773.34</v>
      </c>
      <c r="I111" s="161">
        <f>D111</f>
        <v>0</v>
      </c>
      <c r="J111" s="164">
        <f>H111*I111</f>
        <v>0</v>
      </c>
      <c r="K111" s="135"/>
      <c r="L111" s="135"/>
      <c r="M111" s="135"/>
      <c r="O111" s="135"/>
    </row>
    <row r="112" spans="1:15" x14ac:dyDescent="0.2">
      <c r="A112" s="228"/>
      <c r="B112" s="229"/>
      <c r="C112" s="163"/>
      <c r="D112" s="161"/>
      <c r="E112" s="161"/>
      <c r="F112" s="161"/>
      <c r="G112" s="229"/>
      <c r="H112" s="163"/>
      <c r="I112" s="161"/>
      <c r="J112" s="230"/>
      <c r="K112" s="135"/>
      <c r="L112" s="135"/>
      <c r="M112" s="135"/>
      <c r="O112" s="135"/>
    </row>
    <row r="113" spans="1:15" x14ac:dyDescent="0.2">
      <c r="A113" s="228">
        <v>1606</v>
      </c>
      <c r="B113" s="229" t="s">
        <v>337</v>
      </c>
      <c r="C113" s="163">
        <v>227.22</v>
      </c>
      <c r="D113" s="197">
        <f>D103/2</f>
        <v>0</v>
      </c>
      <c r="E113" s="171">
        <f>C113*D113</f>
        <v>0</v>
      </c>
      <c r="F113" s="161"/>
      <c r="G113" s="229" t="s">
        <v>255</v>
      </c>
      <c r="H113" s="210">
        <v>249.49</v>
      </c>
      <c r="I113" s="161">
        <f>D113</f>
        <v>0</v>
      </c>
      <c r="J113" s="172">
        <f>H113*I113</f>
        <v>0</v>
      </c>
      <c r="K113" s="135"/>
      <c r="L113" s="135"/>
      <c r="M113" s="135"/>
      <c r="O113" s="135"/>
    </row>
    <row r="114" spans="1:15" x14ac:dyDescent="0.2">
      <c r="A114" s="228"/>
      <c r="B114" s="229"/>
      <c r="C114" s="229"/>
      <c r="D114" s="161"/>
      <c r="E114" s="161">
        <f>SUM(E105:E113)</f>
        <v>0</v>
      </c>
      <c r="F114" s="161"/>
      <c r="G114" s="229"/>
      <c r="H114" s="229"/>
      <c r="I114" s="229"/>
      <c r="J114" s="164">
        <f>SUM(J103:J113)</f>
        <v>0</v>
      </c>
      <c r="K114" s="135"/>
      <c r="L114" s="135"/>
      <c r="M114" s="135"/>
      <c r="O114" s="135"/>
    </row>
    <row r="115" spans="1:15" x14ac:dyDescent="0.2">
      <c r="A115" s="228"/>
      <c r="B115" s="229"/>
      <c r="C115" s="229"/>
      <c r="D115" s="161"/>
      <c r="E115" s="161"/>
      <c r="F115" s="161"/>
      <c r="G115" s="229"/>
      <c r="H115" s="229"/>
      <c r="I115" s="229"/>
      <c r="J115" s="164"/>
      <c r="K115" s="135"/>
      <c r="L115" s="135"/>
      <c r="M115" s="135"/>
      <c r="O115" s="135"/>
    </row>
    <row r="116" spans="1:15" x14ac:dyDescent="0.2">
      <c r="A116" s="228">
        <v>1603</v>
      </c>
      <c r="B116" s="229" t="s">
        <v>253</v>
      </c>
      <c r="C116" s="229">
        <v>237.04</v>
      </c>
      <c r="D116" s="161"/>
      <c r="E116" s="229"/>
      <c r="F116" s="229"/>
      <c r="G116" s="229"/>
      <c r="H116" s="229"/>
      <c r="I116" s="229"/>
      <c r="J116" s="230"/>
      <c r="K116" s="135"/>
      <c r="L116" s="135"/>
      <c r="M116" s="135"/>
      <c r="O116" s="135"/>
    </row>
    <row r="117" spans="1:15" x14ac:dyDescent="0.2">
      <c r="A117" s="228">
        <v>1605</v>
      </c>
      <c r="B117" s="229" t="s">
        <v>253</v>
      </c>
      <c r="C117" s="175">
        <v>258.77999999999997</v>
      </c>
      <c r="D117" s="161"/>
      <c r="E117" s="229"/>
      <c r="F117" s="229"/>
      <c r="G117" s="229"/>
      <c r="H117" s="229"/>
      <c r="I117" s="229"/>
      <c r="J117" s="230"/>
      <c r="K117" s="135"/>
      <c r="L117" s="135"/>
      <c r="M117" s="135"/>
      <c r="O117" s="135"/>
    </row>
    <row r="118" spans="1:15" x14ac:dyDescent="0.2">
      <c r="A118" s="228"/>
      <c r="B118" s="229"/>
      <c r="C118" s="229">
        <f>SUM(C116:C117)</f>
        <v>495.81999999999994</v>
      </c>
      <c r="D118" s="161"/>
      <c r="E118" s="229"/>
      <c r="F118" s="229"/>
      <c r="G118" s="229"/>
      <c r="H118" s="229"/>
      <c r="I118" s="229"/>
      <c r="J118" s="230"/>
      <c r="K118" s="135"/>
      <c r="L118" s="135"/>
      <c r="M118" s="135"/>
      <c r="O118" s="135"/>
    </row>
    <row r="119" spans="1:15" ht="13.5" thickBot="1" x14ac:dyDescent="0.25">
      <c r="A119" s="228"/>
      <c r="B119" s="229"/>
      <c r="C119" s="229"/>
      <c r="D119" s="161"/>
      <c r="E119" s="229"/>
      <c r="F119" s="229"/>
      <c r="G119" s="229"/>
      <c r="H119" s="229"/>
      <c r="I119" s="229"/>
      <c r="J119" s="230"/>
      <c r="K119" s="135"/>
      <c r="L119" s="135"/>
      <c r="M119" s="135"/>
      <c r="O119" s="135"/>
    </row>
    <row r="120" spans="1:15" x14ac:dyDescent="0.2">
      <c r="A120" s="176"/>
      <c r="B120" s="229"/>
      <c r="C120" s="229"/>
      <c r="D120" s="161"/>
      <c r="E120" s="286">
        <f>E114</f>
        <v>0</v>
      </c>
      <c r="F120" s="161"/>
      <c r="G120" s="177"/>
      <c r="H120" s="229"/>
      <c r="I120" s="178"/>
      <c r="J120" s="286">
        <f>J114</f>
        <v>0</v>
      </c>
      <c r="K120" s="135"/>
      <c r="L120" s="135"/>
      <c r="M120" s="135"/>
      <c r="O120" s="135"/>
    </row>
    <row r="121" spans="1:15" x14ac:dyDescent="0.2">
      <c r="A121" s="180"/>
      <c r="B121" s="229"/>
      <c r="C121" s="229"/>
      <c r="D121" s="161"/>
      <c r="E121" s="288"/>
      <c r="F121" s="161"/>
      <c r="G121" s="177"/>
      <c r="H121" s="229"/>
      <c r="I121" s="181"/>
      <c r="J121" s="288"/>
      <c r="K121" s="135"/>
      <c r="L121" s="135"/>
      <c r="M121" s="135"/>
      <c r="O121" s="135"/>
    </row>
    <row r="122" spans="1:15" ht="13.5" thickBot="1" x14ac:dyDescent="0.25">
      <c r="A122" s="228" t="s">
        <v>570</v>
      </c>
      <c r="B122" s="161">
        <f>E122+J122</f>
        <v>0</v>
      </c>
      <c r="C122" s="229"/>
      <c r="D122" s="161"/>
      <c r="E122" s="287"/>
      <c r="F122" s="161"/>
      <c r="G122" s="177"/>
      <c r="H122" s="229"/>
      <c r="I122" s="229"/>
      <c r="J122" s="287"/>
      <c r="K122" s="135"/>
      <c r="L122" s="135"/>
      <c r="M122" s="135"/>
      <c r="O122" s="135"/>
    </row>
    <row r="123" spans="1:15" x14ac:dyDescent="0.2">
      <c r="A123" s="555" t="s">
        <v>340</v>
      </c>
      <c r="B123" s="556"/>
      <c r="C123" s="163">
        <f>C105+C109+C111+C113</f>
        <v>20006.09</v>
      </c>
      <c r="D123" s="161"/>
      <c r="E123" s="161"/>
      <c r="F123" s="161"/>
      <c r="G123" s="556" t="s">
        <v>341</v>
      </c>
      <c r="H123" s="556"/>
      <c r="I123" s="556"/>
      <c r="J123" s="285">
        <f>H103+H107+H111+H113</f>
        <v>6670.1540000000005</v>
      </c>
      <c r="K123" s="135"/>
      <c r="L123" s="135"/>
      <c r="M123" s="135"/>
      <c r="O123" s="135"/>
    </row>
    <row r="124" spans="1:15" x14ac:dyDescent="0.2">
      <c r="A124" s="228" t="s">
        <v>342</v>
      </c>
      <c r="B124" s="229"/>
      <c r="C124" s="163">
        <f>C123+J123</f>
        <v>26676.243999999999</v>
      </c>
      <c r="D124" s="161"/>
      <c r="E124" s="161"/>
      <c r="F124" s="161"/>
      <c r="G124" s="229"/>
      <c r="H124" s="229"/>
      <c r="I124" s="229"/>
      <c r="J124" s="164"/>
      <c r="K124" s="135"/>
      <c r="L124" s="135"/>
      <c r="M124" s="135"/>
      <c r="O124" s="135"/>
    </row>
    <row r="125" spans="1:15" ht="13.5" thickBot="1" x14ac:dyDescent="0.25">
      <c r="A125" s="183" t="s">
        <v>374</v>
      </c>
      <c r="B125" s="184"/>
      <c r="C125" s="184"/>
      <c r="D125" s="185"/>
      <c r="E125" s="184" t="s">
        <v>343</v>
      </c>
      <c r="F125" s="184"/>
      <c r="G125" s="184"/>
      <c r="H125" s="184"/>
      <c r="I125" s="184"/>
      <c r="J125" s="292"/>
      <c r="K125" s="135"/>
      <c r="L125" s="135"/>
      <c r="M125" s="135"/>
      <c r="O125" s="135"/>
    </row>
  </sheetData>
  <mergeCells count="16">
    <mergeCell ref="A123:B123"/>
    <mergeCell ref="G123:I123"/>
    <mergeCell ref="A28:J28"/>
    <mergeCell ref="A1:J1"/>
    <mergeCell ref="A2:E2"/>
    <mergeCell ref="G2:J2"/>
    <mergeCell ref="A24:B24"/>
    <mergeCell ref="G24:I24"/>
    <mergeCell ref="A50:B50"/>
    <mergeCell ref="G51:I51"/>
    <mergeCell ref="A55:J55"/>
    <mergeCell ref="A77:B77"/>
    <mergeCell ref="G78:I78"/>
    <mergeCell ref="A100:J100"/>
    <mergeCell ref="A101:E101"/>
    <mergeCell ref="G101:J101"/>
  </mergeCells>
  <pageMargins left="0.2" right="0.2" top="0.5" bottom="0.5" header="0.3" footer="0.3"/>
  <pageSetup orientation="landscape" r:id="rId1"/>
  <headerFooter>
    <oddHeader>&amp;CCOUNTY TAX CALCULATION</oddHeader>
  </headerFooter>
  <rowBreaks count="2" manualBreakCount="2">
    <brk id="26" max="16383" man="1"/>
    <brk id="53" max="16383" man="1"/>
  </rowBreaks>
  <colBreaks count="1" manualBreakCount="1">
    <brk id="10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73"/>
  <sheetViews>
    <sheetView view="pageLayout" topLeftCell="A33" zoomScaleNormal="100" workbookViewId="0">
      <selection activeCell="A56" sqref="A56:B56"/>
    </sheetView>
  </sheetViews>
  <sheetFormatPr defaultColWidth="11.85546875" defaultRowHeight="15" x14ac:dyDescent="0.2"/>
  <cols>
    <col min="1" max="1" width="11.85546875" style="465"/>
    <col min="2" max="2" width="13.28515625" style="465" customWidth="1"/>
    <col min="3" max="3" width="11.85546875" style="465"/>
    <col min="4" max="4" width="13.140625" style="465" customWidth="1"/>
    <col min="5" max="5" width="11.85546875" style="465"/>
    <col min="6" max="6" width="13.28515625" style="465" customWidth="1"/>
    <col min="7" max="7" width="9.42578125" style="465" customWidth="1"/>
    <col min="8" max="8" width="15.85546875" style="465" customWidth="1"/>
    <col min="9" max="10" width="12.7109375" style="465" bestFit="1" customWidth="1"/>
    <col min="11" max="11" width="11.85546875" style="466"/>
    <col min="12" max="16384" width="11.85546875" style="465"/>
  </cols>
  <sheetData>
    <row r="2" spans="1:10" x14ac:dyDescent="0.2">
      <c r="A2" s="465" t="s">
        <v>202</v>
      </c>
    </row>
    <row r="3" spans="1:10" x14ac:dyDescent="0.2">
      <c r="A3" s="465" t="s">
        <v>203</v>
      </c>
    </row>
    <row r="4" spans="1:10" x14ac:dyDescent="0.2">
      <c r="A4" s="465" t="s">
        <v>204</v>
      </c>
    </row>
    <row r="6" spans="1:10" x14ac:dyDescent="0.2">
      <c r="A6" s="465" t="s">
        <v>359</v>
      </c>
    </row>
    <row r="7" spans="1:10" ht="15.75" thickBot="1" x14ac:dyDescent="0.25">
      <c r="A7" s="465" t="s">
        <v>360</v>
      </c>
    </row>
    <row r="8" spans="1:10" ht="15.75" thickBot="1" x14ac:dyDescent="0.25">
      <c r="G8" s="467" t="s">
        <v>361</v>
      </c>
      <c r="H8" s="468"/>
      <c r="I8" s="469"/>
    </row>
    <row r="9" spans="1:10" x14ac:dyDescent="0.2">
      <c r="A9" s="467" t="s">
        <v>356</v>
      </c>
      <c r="B9" s="468" t="s">
        <v>353</v>
      </c>
      <c r="C9" s="468"/>
      <c r="D9" s="469" t="s">
        <v>355</v>
      </c>
      <c r="G9" s="470" t="s">
        <v>362</v>
      </c>
      <c r="H9" s="471"/>
      <c r="I9" s="472"/>
    </row>
    <row r="10" spans="1:10" x14ac:dyDescent="0.2">
      <c r="A10" s="470" t="s">
        <v>318</v>
      </c>
      <c r="B10" s="473">
        <v>46500</v>
      </c>
      <c r="C10" s="473"/>
      <c r="D10" s="474">
        <f>B10*22%</f>
        <v>10230</v>
      </c>
      <c r="F10" s="466"/>
      <c r="G10" s="475"/>
      <c r="H10" s="473">
        <v>10230</v>
      </c>
      <c r="I10" s="474"/>
      <c r="J10" s="466"/>
    </row>
    <row r="11" spans="1:10" x14ac:dyDescent="0.2">
      <c r="A11" s="470" t="s">
        <v>319</v>
      </c>
      <c r="B11" s="473"/>
      <c r="C11" s="473"/>
      <c r="D11" s="474"/>
      <c r="F11" s="466"/>
      <c r="G11" s="475"/>
      <c r="H11" s="473">
        <v>808</v>
      </c>
      <c r="I11" s="474"/>
      <c r="J11" s="466"/>
    </row>
    <row r="12" spans="1:10" ht="15.75" thickBot="1" x14ac:dyDescent="0.25">
      <c r="A12" s="470" t="s">
        <v>320</v>
      </c>
      <c r="B12" s="473"/>
      <c r="C12" s="476"/>
      <c r="D12" s="477"/>
      <c r="F12" s="466"/>
      <c r="G12" s="475"/>
      <c r="H12" s="476">
        <v>2100</v>
      </c>
      <c r="I12" s="474"/>
      <c r="J12" s="466"/>
    </row>
    <row r="13" spans="1:10" ht="16.5" thickTop="1" thickBot="1" x14ac:dyDescent="0.25">
      <c r="A13" s="478"/>
      <c r="B13" s="479"/>
      <c r="C13" s="479">
        <f>SUM(C10:C12)</f>
        <v>0</v>
      </c>
      <c r="D13" s="480">
        <f>SUM(D10:D12)</f>
        <v>10230</v>
      </c>
      <c r="F13" s="466"/>
      <c r="G13" s="481"/>
      <c r="H13" s="482">
        <f>SUM(H10:H12)</f>
        <v>13138</v>
      </c>
      <c r="I13" s="480"/>
      <c r="J13" s="466"/>
    </row>
    <row r="14" spans="1:10" ht="15.75" thickBot="1" x14ac:dyDescent="0.25">
      <c r="C14" s="466"/>
      <c r="D14" s="466"/>
      <c r="E14" s="466"/>
      <c r="F14" s="466"/>
      <c r="G14" s="466"/>
      <c r="H14" s="466"/>
      <c r="I14" s="466"/>
      <c r="J14" s="466"/>
    </row>
    <row r="15" spans="1:10" x14ac:dyDescent="0.2">
      <c r="A15" s="467" t="s">
        <v>358</v>
      </c>
      <c r="B15" s="468"/>
      <c r="C15" s="483"/>
      <c r="D15" s="484" t="s">
        <v>353</v>
      </c>
      <c r="E15" s="483"/>
      <c r="F15" s="485" t="s">
        <v>355</v>
      </c>
      <c r="G15" s="473"/>
      <c r="H15" s="486" t="s">
        <v>354</v>
      </c>
      <c r="I15" s="483"/>
      <c r="J15" s="485" t="s">
        <v>357</v>
      </c>
    </row>
    <row r="16" spans="1:10" ht="15.75" thickBot="1" x14ac:dyDescent="0.25">
      <c r="A16" s="478" t="s">
        <v>318</v>
      </c>
      <c r="B16" s="479">
        <v>525</v>
      </c>
      <c r="C16" s="479"/>
      <c r="D16" s="487">
        <v>7</v>
      </c>
      <c r="E16" s="479">
        <f>B16*D16</f>
        <v>3675</v>
      </c>
      <c r="F16" s="480">
        <f>E16*22%</f>
        <v>808.5</v>
      </c>
      <c r="G16" s="473"/>
      <c r="H16" s="481">
        <v>525</v>
      </c>
      <c r="I16" s="487">
        <v>4</v>
      </c>
      <c r="J16" s="480">
        <f>H16*I16</f>
        <v>2100</v>
      </c>
    </row>
    <row r="17" spans="1:11" x14ac:dyDescent="0.2">
      <c r="C17" s="466"/>
      <c r="D17" s="466"/>
      <c r="E17" s="466"/>
      <c r="F17" s="466"/>
      <c r="G17" s="473"/>
      <c r="H17" s="473"/>
      <c r="I17" s="473"/>
      <c r="J17" s="473"/>
    </row>
    <row r="18" spans="1:11" x14ac:dyDescent="0.2">
      <c r="K18" s="473"/>
    </row>
    <row r="19" spans="1:11" x14ac:dyDescent="0.2">
      <c r="A19" s="465" t="s">
        <v>207</v>
      </c>
      <c r="K19" s="473"/>
    </row>
    <row r="20" spans="1:11" x14ac:dyDescent="0.2">
      <c r="K20" s="473"/>
    </row>
    <row r="21" spans="1:11" x14ac:dyDescent="0.2">
      <c r="A21" s="465" t="s">
        <v>363</v>
      </c>
    </row>
    <row r="35" spans="1:10" ht="63.75" customHeight="1" x14ac:dyDescent="0.2">
      <c r="A35" s="569" t="s">
        <v>619</v>
      </c>
      <c r="B35" s="569"/>
      <c r="C35" s="569"/>
      <c r="D35" s="569"/>
      <c r="E35" s="569"/>
      <c r="F35" s="569"/>
      <c r="G35" s="569"/>
      <c r="H35" s="569"/>
      <c r="I35" s="569"/>
      <c r="J35" s="569"/>
    </row>
    <row r="37" spans="1:10" x14ac:dyDescent="0.2">
      <c r="G37" s="571" t="s">
        <v>614</v>
      </c>
      <c r="H37" s="571"/>
      <c r="I37" s="571"/>
      <c r="J37" s="571"/>
    </row>
    <row r="38" spans="1:10" ht="30" customHeight="1" x14ac:dyDescent="0.2">
      <c r="A38" s="510"/>
      <c r="B38" s="503" t="s">
        <v>611</v>
      </c>
      <c r="C38" s="570" t="s">
        <v>610</v>
      </c>
      <c r="D38" s="510"/>
      <c r="E38" s="510"/>
      <c r="F38" s="510"/>
      <c r="G38" s="511" t="s">
        <v>224</v>
      </c>
      <c r="H38" s="512" t="s">
        <v>215</v>
      </c>
      <c r="I38" s="512" t="s">
        <v>217</v>
      </c>
      <c r="J38" s="513" t="s">
        <v>197</v>
      </c>
    </row>
    <row r="39" spans="1:10" x14ac:dyDescent="0.2">
      <c r="A39" s="510" t="s">
        <v>609</v>
      </c>
      <c r="B39" s="503" t="s">
        <v>261</v>
      </c>
      <c r="C39" s="570"/>
      <c r="D39" s="503"/>
      <c r="E39" s="503"/>
      <c r="F39" s="514" t="s">
        <v>331</v>
      </c>
      <c r="G39" s="515">
        <v>4661.93</v>
      </c>
      <c r="H39" s="516">
        <v>14459.73</v>
      </c>
      <c r="I39" s="516">
        <v>7078</v>
      </c>
      <c r="J39" s="517">
        <v>476.71</v>
      </c>
    </row>
    <row r="40" spans="1:10" x14ac:dyDescent="0.2">
      <c r="A40" s="510"/>
      <c r="B40" s="503" t="s">
        <v>262</v>
      </c>
      <c r="C40" s="570"/>
      <c r="D40" s="503"/>
      <c r="E40" s="503"/>
      <c r="F40" s="503"/>
      <c r="G40" s="518"/>
      <c r="H40" s="519"/>
      <c r="I40" s="519"/>
      <c r="J40" s="520"/>
    </row>
    <row r="41" spans="1:10" ht="15.75" x14ac:dyDescent="0.25">
      <c r="A41" s="521" t="s">
        <v>618</v>
      </c>
      <c r="B41" s="522"/>
      <c r="C41" s="503"/>
      <c r="D41" s="503" t="s">
        <v>612</v>
      </c>
      <c r="E41" s="503" t="s">
        <v>185</v>
      </c>
      <c r="F41" s="503" t="s">
        <v>613</v>
      </c>
      <c r="G41" s="518"/>
      <c r="H41" s="519"/>
      <c r="I41" s="519"/>
      <c r="J41" s="520"/>
    </row>
    <row r="42" spans="1:10" x14ac:dyDescent="0.2">
      <c r="A42" s="489" t="s">
        <v>211</v>
      </c>
      <c r="B42" s="490">
        <v>669884.93000000005</v>
      </c>
      <c r="C42" s="490">
        <v>550000</v>
      </c>
      <c r="D42" s="490">
        <v>10000</v>
      </c>
      <c r="E42" s="490">
        <v>46500</v>
      </c>
      <c r="F42" s="490">
        <v>1720354</v>
      </c>
      <c r="G42" s="504">
        <v>81.709999999999994</v>
      </c>
      <c r="H42" s="491">
        <v>29.9</v>
      </c>
      <c r="I42" s="491">
        <v>6.33</v>
      </c>
      <c r="J42" s="492">
        <v>40.86</v>
      </c>
    </row>
    <row r="43" spans="1:10" x14ac:dyDescent="0.2">
      <c r="A43" s="493"/>
      <c r="B43" s="494">
        <v>148093.45000000001</v>
      </c>
      <c r="C43" s="495"/>
      <c r="D43" s="495"/>
      <c r="E43" s="495"/>
      <c r="F43" s="495"/>
      <c r="G43" s="505"/>
      <c r="H43" s="473"/>
      <c r="I43" s="473"/>
      <c r="J43" s="496"/>
    </row>
    <row r="44" spans="1:10" x14ac:dyDescent="0.2">
      <c r="A44" s="493"/>
      <c r="B44" s="495">
        <f>SUM(B42:B43)</f>
        <v>817978.38000000012</v>
      </c>
      <c r="C44" s="495"/>
      <c r="D44" s="495"/>
      <c r="E44" s="495"/>
      <c r="F44" s="495"/>
      <c r="G44" s="508"/>
      <c r="H44" s="509"/>
      <c r="I44" s="473"/>
      <c r="J44" s="496"/>
    </row>
    <row r="45" spans="1:10" x14ac:dyDescent="0.2">
      <c r="A45" s="493"/>
      <c r="B45" s="495"/>
      <c r="C45" s="495"/>
      <c r="D45" s="495"/>
      <c r="E45" s="495"/>
      <c r="F45" s="495"/>
      <c r="G45" s="505"/>
      <c r="H45" s="473"/>
      <c r="I45" s="473"/>
      <c r="J45" s="496"/>
    </row>
    <row r="46" spans="1:10" x14ac:dyDescent="0.2">
      <c r="A46" s="493"/>
      <c r="B46" s="495"/>
      <c r="C46" s="495"/>
      <c r="D46" s="495"/>
      <c r="E46" s="495"/>
      <c r="F46" s="495"/>
      <c r="G46" s="505"/>
      <c r="H46" s="473"/>
      <c r="I46" s="473"/>
      <c r="J46" s="496"/>
    </row>
    <row r="47" spans="1:10" x14ac:dyDescent="0.2">
      <c r="A47" s="493" t="s">
        <v>212</v>
      </c>
      <c r="B47" s="495">
        <v>640581</v>
      </c>
      <c r="C47" s="495">
        <v>550000</v>
      </c>
      <c r="D47" s="495">
        <v>0</v>
      </c>
      <c r="E47" s="495">
        <v>20000</v>
      </c>
      <c r="F47" s="495">
        <v>1684354.75</v>
      </c>
      <c r="G47" s="505">
        <v>78.760000000000005</v>
      </c>
      <c r="H47" s="473">
        <v>28.78</v>
      </c>
      <c r="I47" s="473">
        <v>6.01</v>
      </c>
      <c r="J47" s="496">
        <v>39.380000000000003</v>
      </c>
    </row>
    <row r="48" spans="1:10" x14ac:dyDescent="0.2">
      <c r="A48" s="493"/>
      <c r="B48" s="497">
        <v>141396</v>
      </c>
      <c r="C48" s="495"/>
      <c r="D48" s="495"/>
      <c r="E48" s="495"/>
      <c r="F48" s="495"/>
      <c r="G48" s="505"/>
      <c r="H48" s="473"/>
      <c r="I48" s="473"/>
      <c r="J48" s="496"/>
    </row>
    <row r="49" spans="1:10" x14ac:dyDescent="0.2">
      <c r="A49" s="493"/>
      <c r="B49" s="495">
        <f>SUM(B47:B48)</f>
        <v>781977</v>
      </c>
      <c r="C49" s="495"/>
      <c r="D49" s="495"/>
      <c r="E49" s="495"/>
      <c r="F49" s="495"/>
      <c r="G49" s="505"/>
      <c r="H49" s="473"/>
      <c r="I49" s="473"/>
      <c r="J49" s="496"/>
    </row>
    <row r="50" spans="1:10" x14ac:dyDescent="0.2">
      <c r="A50" s="493"/>
      <c r="B50" s="495"/>
      <c r="C50" s="495"/>
      <c r="D50" s="495"/>
      <c r="E50" s="495"/>
      <c r="F50" s="495"/>
      <c r="G50" s="505"/>
      <c r="H50" s="473"/>
      <c r="I50" s="473"/>
      <c r="J50" s="496"/>
    </row>
    <row r="51" spans="1:10" x14ac:dyDescent="0.2">
      <c r="A51" s="493"/>
      <c r="B51" s="495"/>
      <c r="C51" s="495"/>
      <c r="D51" s="495"/>
      <c r="E51" s="495"/>
      <c r="F51" s="495"/>
      <c r="G51" s="505"/>
      <c r="H51" s="473"/>
      <c r="I51" s="473"/>
      <c r="J51" s="496"/>
    </row>
    <row r="52" spans="1:10" x14ac:dyDescent="0.2">
      <c r="A52" s="493" t="s">
        <v>213</v>
      </c>
      <c r="B52" s="495">
        <v>636881</v>
      </c>
      <c r="C52" s="495">
        <v>550000</v>
      </c>
      <c r="D52" s="495">
        <v>0</v>
      </c>
      <c r="E52" s="495">
        <v>10000</v>
      </c>
      <c r="F52" s="495">
        <v>1674354</v>
      </c>
      <c r="G52" s="505">
        <v>77.59</v>
      </c>
      <c r="H52" s="473">
        <v>28.46</v>
      </c>
      <c r="I52" s="473">
        <v>5.92</v>
      </c>
      <c r="J52" s="496">
        <v>38.799999999999997</v>
      </c>
    </row>
    <row r="53" spans="1:10" x14ac:dyDescent="0.2">
      <c r="A53" s="493"/>
      <c r="B53" s="497">
        <v>135096</v>
      </c>
      <c r="C53" s="495"/>
      <c r="D53" s="495"/>
      <c r="E53" s="495"/>
      <c r="F53" s="495"/>
      <c r="G53" s="505"/>
      <c r="H53" s="473"/>
      <c r="I53" s="473"/>
      <c r="J53" s="496"/>
    </row>
    <row r="54" spans="1:10" x14ac:dyDescent="0.2">
      <c r="A54" s="498"/>
      <c r="B54" s="494">
        <f>SUM(B52:B53)</f>
        <v>771977</v>
      </c>
      <c r="C54" s="494"/>
      <c r="D54" s="494"/>
      <c r="E54" s="494"/>
      <c r="F54" s="494"/>
      <c r="G54" s="506"/>
      <c r="H54" s="499"/>
      <c r="I54" s="499"/>
      <c r="J54" s="500"/>
    </row>
    <row r="55" spans="1:10" x14ac:dyDescent="0.2">
      <c r="A55" s="501"/>
      <c r="B55" s="488"/>
      <c r="C55" s="488"/>
      <c r="D55" s="488"/>
      <c r="E55" s="488"/>
      <c r="F55" s="488"/>
      <c r="G55" s="505"/>
      <c r="H55" s="473"/>
      <c r="I55" s="473"/>
      <c r="J55" s="496"/>
    </row>
    <row r="56" spans="1:10" ht="15.75" x14ac:dyDescent="0.25">
      <c r="A56" s="523" t="s">
        <v>617</v>
      </c>
      <c r="B56" s="524"/>
      <c r="C56" s="488"/>
      <c r="D56" s="488"/>
      <c r="E56" s="488"/>
      <c r="F56" s="488"/>
      <c r="G56" s="505"/>
      <c r="H56" s="473"/>
      <c r="I56" s="473"/>
      <c r="J56" s="496"/>
    </row>
    <row r="57" spans="1:10" x14ac:dyDescent="0.2">
      <c r="A57" s="489" t="s">
        <v>615</v>
      </c>
      <c r="B57" s="490">
        <v>567233</v>
      </c>
      <c r="C57" s="490">
        <v>450000</v>
      </c>
      <c r="D57" s="490">
        <v>10000</v>
      </c>
      <c r="E57" s="490">
        <v>20000</v>
      </c>
      <c r="F57" s="490">
        <v>1593854</v>
      </c>
      <c r="G57" s="504">
        <v>67.180000000000007</v>
      </c>
      <c r="H57" s="491">
        <v>25.71</v>
      </c>
      <c r="I57" s="491">
        <v>5.21</v>
      </c>
      <c r="J57" s="492">
        <v>33.590000000000003</v>
      </c>
    </row>
    <row r="58" spans="1:10" x14ac:dyDescent="0.2">
      <c r="A58" s="493"/>
      <c r="B58" s="494">
        <v>124245</v>
      </c>
      <c r="C58" s="495"/>
      <c r="D58" s="495"/>
      <c r="E58" s="495"/>
      <c r="F58" s="495"/>
      <c r="G58" s="505"/>
      <c r="H58" s="473"/>
      <c r="I58" s="473"/>
      <c r="J58" s="496"/>
    </row>
    <row r="59" spans="1:10" x14ac:dyDescent="0.2">
      <c r="A59" s="493"/>
      <c r="B59" s="495">
        <f>SUM(B57:B58)</f>
        <v>691478</v>
      </c>
      <c r="C59" s="495"/>
      <c r="D59" s="495"/>
      <c r="E59" s="495"/>
      <c r="F59" s="495"/>
      <c r="G59" s="505"/>
      <c r="H59" s="473"/>
      <c r="I59" s="473"/>
      <c r="J59" s="496"/>
    </row>
    <row r="60" spans="1:10" x14ac:dyDescent="0.2">
      <c r="A60" s="493"/>
      <c r="B60" s="495"/>
      <c r="C60" s="495"/>
      <c r="D60" s="495"/>
      <c r="E60" s="495"/>
      <c r="F60" s="495"/>
      <c r="G60" s="505"/>
      <c r="H60" s="473"/>
      <c r="I60" s="473"/>
      <c r="J60" s="496"/>
    </row>
    <row r="61" spans="1:10" x14ac:dyDescent="0.2">
      <c r="A61" s="493"/>
      <c r="B61" s="495"/>
      <c r="C61" s="495"/>
      <c r="D61" s="495"/>
      <c r="E61" s="495"/>
      <c r="F61" s="495"/>
      <c r="G61" s="505"/>
      <c r="H61" s="473"/>
      <c r="I61" s="473"/>
      <c r="J61" s="496"/>
    </row>
    <row r="62" spans="1:10" x14ac:dyDescent="0.2">
      <c r="A62" s="493" t="s">
        <v>616</v>
      </c>
      <c r="B62" s="495">
        <v>546349</v>
      </c>
      <c r="C62" s="495">
        <v>500000</v>
      </c>
      <c r="D62" s="495">
        <v>0</v>
      </c>
      <c r="E62" s="495">
        <v>20000</v>
      </c>
      <c r="F62" s="495">
        <v>1633854</v>
      </c>
      <c r="G62" s="505">
        <v>71.78</v>
      </c>
      <c r="H62" s="473">
        <v>26.96</v>
      </c>
      <c r="I62" s="473">
        <v>5.5</v>
      </c>
      <c r="J62" s="496">
        <v>35.89</v>
      </c>
    </row>
    <row r="63" spans="1:10" x14ac:dyDescent="0.2">
      <c r="A63" s="493"/>
      <c r="B63" s="494">
        <v>120273</v>
      </c>
      <c r="C63" s="471"/>
      <c r="D63" s="471"/>
      <c r="E63" s="471"/>
      <c r="F63" s="471"/>
      <c r="G63" s="507"/>
      <c r="H63" s="471"/>
      <c r="I63" s="471"/>
      <c r="J63" s="502"/>
    </row>
    <row r="64" spans="1:10" x14ac:dyDescent="0.2">
      <c r="A64" s="498"/>
      <c r="B64" s="494">
        <f>SUM(B62:B63)</f>
        <v>666622</v>
      </c>
      <c r="C64" s="494"/>
      <c r="D64" s="494"/>
      <c r="E64" s="494"/>
      <c r="F64" s="494"/>
      <c r="G64" s="506"/>
      <c r="H64" s="499"/>
      <c r="I64" s="499"/>
      <c r="J64" s="500"/>
    </row>
    <row r="65" spans="2:10" x14ac:dyDescent="0.2">
      <c r="B65" s="488"/>
      <c r="C65" s="488"/>
      <c r="D65" s="488"/>
      <c r="E65" s="488"/>
      <c r="F65" s="488"/>
      <c r="G65" s="466"/>
      <c r="H65" s="466"/>
      <c r="I65" s="466"/>
      <c r="J65" s="466"/>
    </row>
    <row r="66" spans="2:10" x14ac:dyDescent="0.2">
      <c r="B66" s="488"/>
      <c r="C66" s="488"/>
      <c r="D66" s="488"/>
      <c r="E66" s="488"/>
      <c r="F66" s="488"/>
      <c r="G66" s="466"/>
      <c r="H66" s="466"/>
      <c r="I66" s="466"/>
      <c r="J66" s="466"/>
    </row>
    <row r="67" spans="2:10" x14ac:dyDescent="0.2">
      <c r="B67" s="488"/>
      <c r="C67" s="488"/>
      <c r="D67" s="488"/>
      <c r="E67" s="488"/>
      <c r="F67" s="488"/>
      <c r="G67" s="466"/>
      <c r="H67" s="466"/>
      <c r="I67" s="466"/>
      <c r="J67" s="466"/>
    </row>
    <row r="68" spans="2:10" x14ac:dyDescent="0.2">
      <c r="B68" s="488"/>
      <c r="C68" s="488"/>
      <c r="D68" s="488"/>
      <c r="E68" s="488"/>
      <c r="F68" s="488"/>
      <c r="G68" s="466"/>
      <c r="H68" s="466"/>
      <c r="I68" s="466"/>
      <c r="J68" s="466"/>
    </row>
    <row r="69" spans="2:10" x14ac:dyDescent="0.2">
      <c r="B69" s="488"/>
      <c r="C69" s="488"/>
      <c r="D69" s="488"/>
      <c r="E69" s="488"/>
      <c r="F69" s="488"/>
      <c r="G69" s="466"/>
      <c r="H69" s="466"/>
      <c r="I69" s="466"/>
      <c r="J69" s="466"/>
    </row>
    <row r="70" spans="2:10" x14ac:dyDescent="0.2">
      <c r="B70" s="488"/>
      <c r="C70" s="488"/>
      <c r="D70" s="488"/>
      <c r="E70" s="488"/>
      <c r="F70" s="488"/>
      <c r="G70" s="466"/>
      <c r="H70" s="466"/>
      <c r="I70" s="466"/>
      <c r="J70" s="466"/>
    </row>
    <row r="71" spans="2:10" x14ac:dyDescent="0.2">
      <c r="B71" s="488"/>
      <c r="C71" s="488"/>
      <c r="D71" s="488"/>
      <c r="E71" s="488"/>
      <c r="F71" s="488"/>
      <c r="G71" s="466"/>
      <c r="H71" s="466"/>
      <c r="I71" s="466"/>
      <c r="J71" s="466"/>
    </row>
    <row r="72" spans="2:10" x14ac:dyDescent="0.2">
      <c r="B72" s="488"/>
      <c r="C72" s="488"/>
      <c r="D72" s="488"/>
      <c r="E72" s="488"/>
      <c r="F72" s="488"/>
      <c r="G72" s="466"/>
      <c r="H72" s="466"/>
      <c r="I72" s="466"/>
      <c r="J72" s="466"/>
    </row>
    <row r="73" spans="2:10" x14ac:dyDescent="0.2">
      <c r="B73" s="488"/>
      <c r="C73" s="488"/>
      <c r="D73" s="488"/>
      <c r="E73" s="488"/>
      <c r="F73" s="488"/>
      <c r="G73" s="466"/>
      <c r="H73" s="466"/>
      <c r="I73" s="466"/>
      <c r="J73" s="466"/>
    </row>
  </sheetData>
  <mergeCells count="3">
    <mergeCell ref="A35:J35"/>
    <mergeCell ref="C38:C40"/>
    <mergeCell ref="G37:J37"/>
  </mergeCells>
  <pageMargins left="0.2" right="0.2" top="0.75" bottom="0.75" header="0.3" footer="0.3"/>
  <pageSetup fitToHeight="0" orientation="landscape" r:id="rId1"/>
  <headerFooter>
    <oddFooter>&amp;Z&amp;F&amp;RPage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zoomScaleNormal="100" workbookViewId="0">
      <selection activeCell="F12" sqref="F12"/>
    </sheetView>
  </sheetViews>
  <sheetFormatPr defaultColWidth="12.42578125" defaultRowHeight="12.75" x14ac:dyDescent="0.2"/>
  <cols>
    <col min="1" max="1" width="12.42578125" style="135"/>
    <col min="2" max="2" width="12.5703125" style="135" bestFit="1" customWidth="1"/>
    <col min="3" max="3" width="13" style="135" customWidth="1"/>
    <col min="4" max="6" width="12.7109375" style="135" bestFit="1" customWidth="1"/>
    <col min="7" max="8" width="12.5703125" style="135" bestFit="1" customWidth="1"/>
    <col min="9" max="16384" width="12.42578125" style="135"/>
  </cols>
  <sheetData>
    <row r="1" spans="1:10" ht="13.5" thickBot="1" x14ac:dyDescent="0.25">
      <c r="A1" s="133"/>
      <c r="B1" s="134"/>
      <c r="C1" s="134"/>
      <c r="D1" s="134"/>
      <c r="E1" s="134"/>
      <c r="F1" s="134"/>
      <c r="G1" s="134"/>
      <c r="H1" s="134"/>
      <c r="I1" s="134"/>
      <c r="J1" s="134"/>
    </row>
    <row r="2" spans="1:10" x14ac:dyDescent="0.2">
      <c r="A2" s="133"/>
      <c r="B2" s="136" t="s">
        <v>1</v>
      </c>
      <c r="C2" s="136" t="s">
        <v>1</v>
      </c>
      <c r="D2" s="136" t="s">
        <v>1</v>
      </c>
      <c r="E2" s="136" t="s">
        <v>1</v>
      </c>
      <c r="F2" s="136" t="s">
        <v>1</v>
      </c>
      <c r="G2" s="137" t="s">
        <v>3</v>
      </c>
      <c r="H2" s="138" t="s">
        <v>2</v>
      </c>
    </row>
    <row r="3" spans="1:10" x14ac:dyDescent="0.2">
      <c r="A3" s="133"/>
      <c r="B3" s="136" t="s">
        <v>285</v>
      </c>
      <c r="C3" s="136" t="s">
        <v>286</v>
      </c>
      <c r="D3" s="136" t="s">
        <v>287</v>
      </c>
      <c r="E3" s="140" t="s">
        <v>288</v>
      </c>
      <c r="F3" s="140" t="s">
        <v>289</v>
      </c>
      <c r="G3" s="141" t="s">
        <v>290</v>
      </c>
      <c r="H3" s="142" t="s">
        <v>290</v>
      </c>
    </row>
    <row r="4" spans="1:10" x14ac:dyDescent="0.2">
      <c r="A4" s="133"/>
      <c r="B4" s="144">
        <v>1635201</v>
      </c>
      <c r="C4" s="144">
        <v>1505107</v>
      </c>
      <c r="D4" s="144">
        <v>1384742</v>
      </c>
      <c r="E4" s="144">
        <v>1363399</v>
      </c>
      <c r="F4" s="145">
        <v>1427295.19</v>
      </c>
      <c r="G4" s="146">
        <v>1374892</v>
      </c>
      <c r="H4" s="147">
        <v>1513376</v>
      </c>
    </row>
    <row r="5" spans="1:10" x14ac:dyDescent="0.2">
      <c r="A5" s="149" t="s">
        <v>293</v>
      </c>
      <c r="B5" s="145"/>
      <c r="C5" s="145"/>
      <c r="D5" s="145"/>
      <c r="E5" s="145"/>
      <c r="F5" s="145"/>
      <c r="G5" s="150"/>
      <c r="H5" s="151"/>
    </row>
    <row r="6" spans="1:10" x14ac:dyDescent="0.2">
      <c r="A6" s="133" t="s">
        <v>224</v>
      </c>
      <c r="B6" s="145">
        <v>62.18</v>
      </c>
      <c r="C6" s="145">
        <v>60.36</v>
      </c>
      <c r="D6" s="145">
        <v>51.27</v>
      </c>
      <c r="E6" s="145">
        <v>50</v>
      </c>
      <c r="F6" s="145">
        <v>48</v>
      </c>
      <c r="G6" s="150">
        <v>63.67</v>
      </c>
      <c r="H6" s="151">
        <v>48</v>
      </c>
    </row>
    <row r="7" spans="1:10" x14ac:dyDescent="0.2">
      <c r="A7" s="133" t="s">
        <v>215</v>
      </c>
      <c r="B7" s="145">
        <v>25.65</v>
      </c>
      <c r="C7" s="145">
        <v>28.21</v>
      </c>
      <c r="D7" s="145">
        <v>21.97</v>
      </c>
      <c r="E7" s="145">
        <v>21.6</v>
      </c>
      <c r="F7" s="145">
        <v>20.74</v>
      </c>
      <c r="G7" s="150">
        <v>23.86</v>
      </c>
      <c r="H7" s="151">
        <v>20.74</v>
      </c>
    </row>
    <row r="8" spans="1:10" x14ac:dyDescent="0.2">
      <c r="A8" s="133" t="s">
        <v>217</v>
      </c>
      <c r="B8" s="145">
        <v>6.25</v>
      </c>
      <c r="C8" s="145">
        <v>6.74</v>
      </c>
      <c r="D8" s="145">
        <v>4.0199999999999996</v>
      </c>
      <c r="E8" s="145">
        <v>3.98</v>
      </c>
      <c r="F8" s="145">
        <v>3.82</v>
      </c>
      <c r="G8" s="150">
        <v>4.9400000000000004</v>
      </c>
      <c r="H8" s="151">
        <v>3.82</v>
      </c>
    </row>
    <row r="9" spans="1:10" ht="13.5" thickBot="1" x14ac:dyDescent="0.25">
      <c r="A9" s="133" t="s">
        <v>197</v>
      </c>
      <c r="B9" s="145">
        <v>31.09</v>
      </c>
      <c r="C9" s="145">
        <v>30.18</v>
      </c>
      <c r="D9" s="145">
        <v>25.64</v>
      </c>
      <c r="E9" s="145">
        <v>25</v>
      </c>
      <c r="F9" s="145">
        <v>24</v>
      </c>
      <c r="G9" s="152">
        <v>31.84</v>
      </c>
      <c r="H9" s="153">
        <v>24</v>
      </c>
    </row>
    <row r="10" spans="1:10" x14ac:dyDescent="0.2">
      <c r="A10" s="133"/>
      <c r="B10" s="145"/>
      <c r="C10" s="145"/>
      <c r="D10" s="145"/>
      <c r="E10" s="145"/>
      <c r="F10" s="145"/>
      <c r="G10" s="154"/>
      <c r="H10" s="154"/>
      <c r="I10" s="145"/>
      <c r="J10" s="145"/>
    </row>
    <row r="11" spans="1:10" x14ac:dyDescent="0.2">
      <c r="A11" s="133"/>
      <c r="B11" s="145"/>
      <c r="C11" s="145"/>
      <c r="D11" s="145"/>
      <c r="E11" s="145"/>
      <c r="F11" s="145"/>
      <c r="G11" s="154"/>
      <c r="H11" s="154"/>
      <c r="I11" s="145"/>
      <c r="J11" s="145"/>
    </row>
    <row r="12" spans="1:10" x14ac:dyDescent="0.2">
      <c r="A12" s="133"/>
      <c r="B12" s="136" t="s">
        <v>1</v>
      </c>
      <c r="C12" s="136" t="s">
        <v>1</v>
      </c>
      <c r="D12" s="136" t="s">
        <v>1</v>
      </c>
      <c r="E12" s="139" t="s">
        <v>1</v>
      </c>
      <c r="F12" s="139" t="s">
        <v>1</v>
      </c>
      <c r="G12" s="154"/>
      <c r="H12" s="154"/>
      <c r="I12" s="145"/>
      <c r="J12" s="145"/>
    </row>
    <row r="13" spans="1:10" x14ac:dyDescent="0.2">
      <c r="A13" s="133"/>
      <c r="B13" s="140" t="s">
        <v>291</v>
      </c>
      <c r="C13" s="140" t="s">
        <v>292</v>
      </c>
      <c r="D13" s="140" t="s">
        <v>5</v>
      </c>
      <c r="E13" s="143" t="s">
        <v>6</v>
      </c>
      <c r="F13" s="143" t="s">
        <v>294</v>
      </c>
      <c r="G13" s="154"/>
      <c r="H13" s="154"/>
      <c r="I13" s="145"/>
      <c r="J13" s="145"/>
    </row>
    <row r="14" spans="1:10" x14ac:dyDescent="0.2">
      <c r="A14" s="133"/>
      <c r="B14" s="144">
        <v>1348201</v>
      </c>
      <c r="C14" s="145">
        <v>1383573.25</v>
      </c>
      <c r="D14" s="145">
        <v>1326736.8400000001</v>
      </c>
      <c r="E14" s="148">
        <v>1442847.8</v>
      </c>
      <c r="F14" s="148">
        <v>1593854.75</v>
      </c>
      <c r="G14" s="154"/>
      <c r="H14" s="154"/>
      <c r="I14" s="145"/>
      <c r="J14" s="145"/>
    </row>
    <row r="15" spans="1:10" x14ac:dyDescent="0.2">
      <c r="A15" s="149" t="s">
        <v>293</v>
      </c>
      <c r="B15" s="145"/>
      <c r="C15" s="145"/>
      <c r="D15" s="145"/>
      <c r="E15" s="148"/>
      <c r="F15" s="148"/>
      <c r="G15" s="154"/>
      <c r="H15" s="154"/>
      <c r="I15" s="145"/>
      <c r="J15" s="145"/>
    </row>
    <row r="16" spans="1:10" x14ac:dyDescent="0.2">
      <c r="A16" s="133" t="s">
        <v>224</v>
      </c>
      <c r="B16" s="145">
        <v>67.94</v>
      </c>
      <c r="C16" s="145">
        <v>73.62</v>
      </c>
      <c r="D16" s="145">
        <v>76.97</v>
      </c>
      <c r="E16" s="148">
        <v>71.33</v>
      </c>
      <c r="F16" s="148">
        <v>67.180000000000007</v>
      </c>
      <c r="G16" s="154"/>
      <c r="H16" s="154"/>
      <c r="I16" s="145"/>
      <c r="J16" s="145"/>
    </row>
    <row r="17" spans="1:10" x14ac:dyDescent="0.2">
      <c r="A17" s="133" t="s">
        <v>215</v>
      </c>
      <c r="B17" s="145">
        <v>33.97</v>
      </c>
      <c r="C17" s="145">
        <v>26.97</v>
      </c>
      <c r="D17" s="145">
        <v>28.29</v>
      </c>
      <c r="E17" s="148">
        <v>26.78</v>
      </c>
      <c r="F17" s="148">
        <v>25.71</v>
      </c>
      <c r="G17" s="154"/>
      <c r="H17" s="154"/>
      <c r="I17" s="145"/>
      <c r="J17" s="145"/>
    </row>
    <row r="18" spans="1:10" x14ac:dyDescent="0.2">
      <c r="A18" s="133" t="s">
        <v>217</v>
      </c>
      <c r="B18" s="145">
        <v>5.26</v>
      </c>
      <c r="C18" s="145">
        <v>5.7</v>
      </c>
      <c r="D18" s="145">
        <v>5.87</v>
      </c>
      <c r="E18" s="148">
        <v>5.44</v>
      </c>
      <c r="F18" s="148">
        <v>5.21</v>
      </c>
      <c r="G18" s="154"/>
      <c r="H18" s="154"/>
      <c r="I18" s="145"/>
      <c r="J18" s="145"/>
    </row>
    <row r="19" spans="1:10" x14ac:dyDescent="0.2">
      <c r="A19" s="133" t="s">
        <v>197</v>
      </c>
      <c r="B19" s="145">
        <v>25.35</v>
      </c>
      <c r="C19" s="145">
        <v>36.81</v>
      </c>
      <c r="D19" s="145">
        <v>38.479999999999997</v>
      </c>
      <c r="E19" s="148">
        <v>35.659999999999997</v>
      </c>
      <c r="F19" s="148">
        <v>33.590000000000003</v>
      </c>
      <c r="G19" s="154"/>
      <c r="H19" s="154"/>
      <c r="I19" s="145"/>
      <c r="J19" s="145"/>
    </row>
    <row r="20" spans="1:10" x14ac:dyDescent="0.2">
      <c r="A20" s="133"/>
      <c r="B20" s="145"/>
      <c r="C20" s="145"/>
      <c r="D20" s="145"/>
      <c r="E20" s="145"/>
      <c r="F20" s="145"/>
      <c r="G20" s="154"/>
      <c r="H20" s="154"/>
      <c r="I20" s="145"/>
      <c r="J20" s="145"/>
    </row>
    <row r="21" spans="1:10" x14ac:dyDescent="0.2">
      <c r="A21" s="133"/>
      <c r="B21" s="145"/>
      <c r="C21" s="145"/>
      <c r="D21" s="145"/>
      <c r="E21" s="145"/>
      <c r="F21" s="145"/>
      <c r="G21" s="154"/>
      <c r="H21" s="154"/>
      <c r="I21" s="145"/>
      <c r="J21" s="145"/>
    </row>
    <row r="22" spans="1:10" x14ac:dyDescent="0.2">
      <c r="A22" s="133"/>
      <c r="B22" s="134"/>
      <c r="C22" s="134"/>
      <c r="D22" s="134"/>
      <c r="E22" s="134"/>
      <c r="F22" s="134"/>
      <c r="G22" s="134"/>
      <c r="H22" s="134"/>
      <c r="I22" s="134"/>
      <c r="J22" s="134"/>
    </row>
    <row r="23" spans="1:10" x14ac:dyDescent="0.2">
      <c r="A23" s="133"/>
      <c r="B23" s="134"/>
      <c r="C23" s="134"/>
      <c r="D23" s="134"/>
      <c r="E23" s="134"/>
      <c r="F23" s="134"/>
      <c r="G23" s="134"/>
      <c r="H23" s="134"/>
      <c r="I23" s="134"/>
      <c r="J23" s="134"/>
    </row>
    <row r="24" spans="1:10" x14ac:dyDescent="0.2">
      <c r="A24" s="155" t="s">
        <v>312</v>
      </c>
      <c r="B24" s="155"/>
      <c r="C24" s="155"/>
      <c r="D24" s="155"/>
      <c r="E24" s="155"/>
      <c r="F24" s="155"/>
      <c r="G24" s="155"/>
      <c r="H24" s="155"/>
      <c r="I24" s="155"/>
      <c r="J24" s="155"/>
    </row>
    <row r="25" spans="1:10" x14ac:dyDescent="0.2">
      <c r="A25" s="155" t="s">
        <v>313</v>
      </c>
      <c r="B25" s="155"/>
      <c r="C25" s="155"/>
      <c r="D25" s="155"/>
      <c r="E25" s="155"/>
      <c r="F25" s="155"/>
      <c r="G25" s="155"/>
      <c r="H25" s="155"/>
      <c r="I25" s="155"/>
      <c r="J25" s="155"/>
    </row>
    <row r="26" spans="1:10" x14ac:dyDescent="0.2">
      <c r="A26" s="572" t="s">
        <v>314</v>
      </c>
      <c r="B26" s="572"/>
      <c r="C26" s="572"/>
      <c r="D26" s="572"/>
      <c r="E26" s="572"/>
      <c r="F26" s="572"/>
      <c r="G26" s="572"/>
      <c r="H26" s="572"/>
      <c r="I26" s="572"/>
      <c r="J26" s="572"/>
    </row>
    <row r="27" spans="1:10" x14ac:dyDescent="0.2">
      <c r="A27" s="155"/>
      <c r="B27" s="155"/>
      <c r="C27" s="155"/>
      <c r="D27" s="155"/>
      <c r="E27" s="155"/>
      <c r="F27" s="155"/>
      <c r="G27" s="155"/>
      <c r="H27" s="155"/>
      <c r="I27" s="155"/>
      <c r="J27" s="155"/>
    </row>
    <row r="28" spans="1:10" x14ac:dyDescent="0.2">
      <c r="A28" s="155"/>
      <c r="B28" s="155"/>
      <c r="C28" s="155"/>
      <c r="D28" s="155"/>
      <c r="E28" s="155"/>
      <c r="F28" s="155"/>
      <c r="G28" s="155"/>
      <c r="H28" s="155"/>
      <c r="I28" s="155"/>
      <c r="J28" s="155"/>
    </row>
    <row r="29" spans="1:10" x14ac:dyDescent="0.2">
      <c r="A29" s="155"/>
      <c r="B29" s="155"/>
      <c r="C29" s="155"/>
      <c r="D29" s="155"/>
      <c r="E29" s="155"/>
      <c r="F29" s="155"/>
      <c r="G29" s="155"/>
      <c r="H29" s="155"/>
      <c r="I29" s="155"/>
      <c r="J29" s="155"/>
    </row>
  </sheetData>
  <mergeCells count="1">
    <mergeCell ref="A26:J26"/>
  </mergeCells>
  <pageMargins left="0.5" right="0.5" top="0.75" bottom="0.75" header="0.3" footer="0.3"/>
  <pageSetup orientation="landscape" r:id="rId1"/>
  <headerFooter>
    <oddFooter>&amp;Z&amp;F&amp;RPage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view="pageLayout" zoomScaleNormal="100" workbookViewId="0">
      <selection activeCell="I29" sqref="I29"/>
    </sheetView>
  </sheetViews>
  <sheetFormatPr defaultRowHeight="15" x14ac:dyDescent="0.25"/>
  <cols>
    <col min="1" max="1" width="4.7109375" style="304" customWidth="1"/>
    <col min="2" max="16384" width="9.140625" style="301"/>
  </cols>
  <sheetData>
    <row r="1" spans="1:16" s="304" customFormat="1" x14ac:dyDescent="0.25">
      <c r="A1" s="303">
        <v>1</v>
      </c>
      <c r="B1" s="304" t="s">
        <v>583</v>
      </c>
    </row>
    <row r="2" spans="1:16" s="304" customFormat="1" x14ac:dyDescent="0.25">
      <c r="A2" s="303"/>
    </row>
    <row r="3" spans="1:16" s="304" customFormat="1" x14ac:dyDescent="0.25">
      <c r="A3" s="303">
        <v>2</v>
      </c>
      <c r="B3" s="304" t="s">
        <v>593</v>
      </c>
    </row>
    <row r="4" spans="1:16" s="304" customFormat="1" x14ac:dyDescent="0.25">
      <c r="A4" s="303"/>
    </row>
    <row r="5" spans="1:16" s="304" customFormat="1" x14ac:dyDescent="0.25">
      <c r="A5" s="303">
        <v>3</v>
      </c>
      <c r="B5" s="304" t="s">
        <v>584</v>
      </c>
    </row>
    <row r="6" spans="1:16" s="304" customFormat="1" x14ac:dyDescent="0.25">
      <c r="A6" s="303"/>
    </row>
    <row r="7" spans="1:16" s="304" customFormat="1" x14ac:dyDescent="0.25">
      <c r="A7" s="303">
        <v>4</v>
      </c>
      <c r="B7" s="304" t="s">
        <v>594</v>
      </c>
    </row>
    <row r="8" spans="1:16" x14ac:dyDescent="0.25">
      <c r="A8" s="303"/>
      <c r="B8" s="302"/>
      <c r="C8" s="302"/>
      <c r="D8" s="302"/>
      <c r="E8" s="302"/>
      <c r="F8" s="302"/>
      <c r="G8" s="302"/>
      <c r="H8" s="302"/>
      <c r="I8" s="302"/>
      <c r="J8" s="302"/>
      <c r="K8" s="302"/>
      <c r="L8" s="302"/>
      <c r="M8" s="302"/>
      <c r="N8" s="302"/>
    </row>
    <row r="9" spans="1:16" x14ac:dyDescent="0.25">
      <c r="B9" s="302"/>
      <c r="C9" s="302"/>
      <c r="D9" s="302"/>
      <c r="E9" s="302"/>
      <c r="F9" s="302"/>
      <c r="G9" s="302"/>
      <c r="H9" s="302"/>
      <c r="I9" s="302"/>
      <c r="J9" s="302"/>
      <c r="K9" s="302"/>
      <c r="L9" s="302"/>
      <c r="M9" s="302"/>
      <c r="N9" s="302"/>
    </row>
    <row r="10" spans="1:16" x14ac:dyDescent="0.25">
      <c r="B10" s="302"/>
      <c r="C10" s="302"/>
      <c r="D10" s="302"/>
      <c r="E10" s="302"/>
      <c r="F10" s="302"/>
      <c r="G10" s="302"/>
      <c r="H10" s="302"/>
      <c r="I10" s="302"/>
      <c r="J10" s="302"/>
      <c r="K10" s="302"/>
      <c r="L10" s="302"/>
      <c r="M10" s="302"/>
      <c r="N10" s="302"/>
    </row>
    <row r="11" spans="1:16" x14ac:dyDescent="0.25">
      <c r="A11" s="380" t="s">
        <v>236</v>
      </c>
      <c r="B11" s="306"/>
      <c r="C11" s="306"/>
      <c r="D11" s="305"/>
      <c r="E11" s="305"/>
      <c r="F11" s="305"/>
      <c r="G11" s="305"/>
      <c r="H11" s="305"/>
      <c r="I11" s="305"/>
      <c r="J11" s="305"/>
      <c r="K11" s="305"/>
      <c r="L11" s="305"/>
      <c r="M11" s="305"/>
      <c r="N11" s="305"/>
      <c r="O11" s="305"/>
      <c r="P11" s="300"/>
    </row>
    <row r="12" spans="1:16" x14ac:dyDescent="0.25">
      <c r="A12" s="381">
        <v>1</v>
      </c>
      <c r="B12" s="307" t="s">
        <v>572</v>
      </c>
      <c r="C12" s="307"/>
      <c r="D12" s="305"/>
      <c r="E12" s="305"/>
      <c r="F12" s="305"/>
      <c r="G12" s="305"/>
      <c r="H12" s="305"/>
      <c r="I12" s="305"/>
      <c r="J12" s="305"/>
      <c r="K12" s="305"/>
      <c r="L12" s="305"/>
      <c r="M12" s="305"/>
      <c r="N12" s="305"/>
      <c r="O12" s="305"/>
      <c r="P12" s="300"/>
    </row>
    <row r="13" spans="1:16" x14ac:dyDescent="0.25">
      <c r="A13" s="381">
        <v>2</v>
      </c>
      <c r="B13" s="307" t="s">
        <v>585</v>
      </c>
      <c r="C13" s="307"/>
      <c r="D13" s="305"/>
      <c r="E13" s="305"/>
      <c r="F13" s="305"/>
      <c r="G13" s="305"/>
      <c r="H13" s="305"/>
      <c r="I13" s="305"/>
      <c r="J13" s="305"/>
      <c r="K13" s="305"/>
      <c r="L13" s="305"/>
      <c r="M13" s="305"/>
      <c r="N13" s="305"/>
      <c r="O13" s="305"/>
      <c r="P13" s="300"/>
    </row>
    <row r="14" spans="1:16" x14ac:dyDescent="0.25">
      <c r="A14" s="381"/>
      <c r="B14" s="307" t="s">
        <v>586</v>
      </c>
      <c r="C14" s="307"/>
      <c r="D14" s="305"/>
      <c r="E14" s="305"/>
      <c r="F14" s="305"/>
      <c r="G14" s="305"/>
      <c r="H14" s="305"/>
      <c r="I14" s="305"/>
      <c r="J14" s="305"/>
      <c r="K14" s="305"/>
      <c r="L14" s="305"/>
      <c r="M14" s="305"/>
      <c r="N14" s="305"/>
      <c r="O14" s="305"/>
      <c r="P14" s="300"/>
    </row>
    <row r="15" spans="1:16" s="379" customFormat="1" x14ac:dyDescent="0.25">
      <c r="A15" s="381">
        <v>3</v>
      </c>
      <c r="B15" s="307" t="s">
        <v>587</v>
      </c>
      <c r="C15" s="307"/>
      <c r="D15" s="305"/>
      <c r="E15" s="305"/>
      <c r="F15" s="305"/>
      <c r="G15" s="305"/>
      <c r="H15" s="305"/>
      <c r="I15" s="305"/>
      <c r="J15" s="305"/>
      <c r="K15" s="305"/>
      <c r="L15" s="305"/>
      <c r="M15" s="305"/>
      <c r="N15" s="305"/>
      <c r="O15" s="305"/>
      <c r="P15" s="300"/>
    </row>
    <row r="16" spans="1:16" x14ac:dyDescent="0.25">
      <c r="A16" s="381">
        <v>4</v>
      </c>
      <c r="B16" s="307" t="s">
        <v>326</v>
      </c>
      <c r="C16" s="307"/>
      <c r="D16" s="305"/>
      <c r="E16" s="305"/>
      <c r="F16" s="305"/>
      <c r="G16" s="305"/>
      <c r="H16" s="305"/>
      <c r="I16" s="305"/>
      <c r="J16" s="305"/>
      <c r="K16" s="305"/>
      <c r="L16" s="305"/>
      <c r="M16" s="305"/>
      <c r="N16" s="305"/>
      <c r="O16" s="305"/>
      <c r="P16" s="300"/>
    </row>
    <row r="17" spans="1:16" x14ac:dyDescent="0.25">
      <c r="A17" s="381">
        <v>5</v>
      </c>
      <c r="B17" s="307" t="s">
        <v>589</v>
      </c>
      <c r="C17" s="307"/>
      <c r="D17" s="305"/>
      <c r="E17" s="305"/>
      <c r="F17" s="305"/>
      <c r="G17" s="305"/>
      <c r="H17" s="305"/>
      <c r="I17" s="305"/>
      <c r="J17" s="305"/>
      <c r="K17" s="305"/>
      <c r="L17" s="305"/>
      <c r="M17" s="305"/>
      <c r="N17" s="305"/>
      <c r="O17" s="305"/>
      <c r="P17" s="300"/>
    </row>
    <row r="18" spans="1:16" x14ac:dyDescent="0.25">
      <c r="A18" s="381"/>
      <c r="B18" s="307" t="s">
        <v>588</v>
      </c>
      <c r="C18" s="307"/>
      <c r="D18" s="305"/>
      <c r="E18" s="305"/>
      <c r="F18" s="305"/>
      <c r="G18" s="305"/>
      <c r="H18" s="305"/>
      <c r="I18" s="305"/>
      <c r="J18" s="305"/>
      <c r="K18" s="305"/>
      <c r="L18" s="305"/>
      <c r="M18" s="305"/>
      <c r="N18" s="305"/>
      <c r="O18" s="305"/>
      <c r="P18" s="300"/>
    </row>
    <row r="19" spans="1:16" x14ac:dyDescent="0.25">
      <c r="A19" s="381">
        <v>6</v>
      </c>
      <c r="B19" s="307" t="s">
        <v>590</v>
      </c>
      <c r="C19" s="308"/>
      <c r="D19" s="305"/>
      <c r="E19" s="305"/>
      <c r="F19" s="305"/>
      <c r="G19" s="305"/>
      <c r="H19" s="305"/>
      <c r="I19" s="305"/>
      <c r="J19" s="305"/>
      <c r="K19" s="305"/>
      <c r="L19" s="305"/>
      <c r="M19" s="305"/>
      <c r="N19" s="305"/>
      <c r="O19" s="305"/>
      <c r="P19" s="300"/>
    </row>
    <row r="20" spans="1:16" x14ac:dyDescent="0.25">
      <c r="A20" s="381">
        <v>7</v>
      </c>
      <c r="B20" s="307" t="s">
        <v>592</v>
      </c>
      <c r="C20" s="307"/>
      <c r="D20" s="305"/>
      <c r="E20" s="305"/>
      <c r="F20" s="305"/>
      <c r="G20" s="305"/>
      <c r="H20" s="305"/>
      <c r="I20" s="305"/>
      <c r="J20" s="305"/>
      <c r="K20" s="305"/>
      <c r="L20" s="305"/>
      <c r="M20" s="305"/>
      <c r="N20" s="305"/>
      <c r="O20" s="305"/>
      <c r="P20" s="300"/>
    </row>
    <row r="21" spans="1:16" x14ac:dyDescent="0.25">
      <c r="A21" s="381"/>
      <c r="B21" s="307" t="s">
        <v>591</v>
      </c>
      <c r="C21" s="307"/>
      <c r="D21" s="305"/>
      <c r="E21" s="305"/>
      <c r="F21" s="305"/>
      <c r="G21" s="305"/>
      <c r="H21" s="305"/>
      <c r="I21" s="305"/>
      <c r="J21" s="305"/>
      <c r="K21" s="305"/>
      <c r="L21" s="305"/>
      <c r="M21" s="305"/>
      <c r="N21" s="305"/>
      <c r="O21" s="305"/>
      <c r="P21" s="300"/>
    </row>
    <row r="22" spans="1:16" x14ac:dyDescent="0.25">
      <c r="B22" s="302"/>
      <c r="C22" s="302"/>
      <c r="D22" s="302"/>
      <c r="E22" s="302"/>
      <c r="F22" s="302"/>
      <c r="G22" s="302"/>
      <c r="H22" s="302"/>
      <c r="I22" s="302"/>
      <c r="J22" s="302"/>
      <c r="K22" s="302"/>
      <c r="L22" s="302"/>
      <c r="M22" s="302"/>
      <c r="N22" s="302"/>
      <c r="O22" s="302"/>
      <c r="P22" s="302"/>
    </row>
    <row r="23" spans="1:16" x14ac:dyDescent="0.25">
      <c r="B23" s="302"/>
      <c r="C23" s="302"/>
      <c r="D23" s="302"/>
      <c r="E23" s="302"/>
      <c r="F23" s="302"/>
      <c r="G23" s="302"/>
      <c r="H23" s="302"/>
      <c r="I23" s="302"/>
      <c r="J23" s="302"/>
      <c r="K23" s="302"/>
      <c r="L23" s="302"/>
      <c r="M23" s="302"/>
      <c r="N23" s="302"/>
      <c r="O23" s="302"/>
      <c r="P23" s="302"/>
    </row>
  </sheetData>
  <pageMargins left="0.2" right="0.2" top="1" bottom="0.75" header="0.3" footer="0.3"/>
  <pageSetup orientation="landscape" r:id="rId1"/>
  <headerFooter>
    <oddHeader xml:space="preserve">&amp;C&amp;"Arial,Regular"&amp;14Standard Operating Procedures for
Creating the Barron WCD Tax Rate Levy Assessments, County Tax Revenues, and GF Budget
</oddHeader>
    <oddFooter>&amp;Z&amp;F&amp;RPage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AdoptedD</vt:lpstr>
      <vt:lpstr>LOAcres</vt:lpstr>
      <vt:lpstr>TaxCalc#1</vt:lpstr>
      <vt:lpstr>TaxCalc#2</vt:lpstr>
      <vt:lpstr>TaxCalc#3</vt:lpstr>
      <vt:lpstr>Notes</vt:lpstr>
      <vt:lpstr>TaxRateHist</vt:lpstr>
      <vt:lpstr>SOP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Judi Kennington-Korf</dc:creator>
  <cp:lastModifiedBy>Judi Kennington-Korf</cp:lastModifiedBy>
  <cp:lastPrinted>2019-08-28T19:39:24Z</cp:lastPrinted>
  <dcterms:created xsi:type="dcterms:W3CDTF">2018-05-29T21:21:53Z</dcterms:created>
  <dcterms:modified xsi:type="dcterms:W3CDTF">2019-08-28T19:39:25Z</dcterms:modified>
</cp:coreProperties>
</file>